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" sheetId="5" r:id="rId5"/>
  </sheets>
  <externalReferences>
    <externalReference r:id="rId8"/>
  </externalReferences>
  <definedNames>
    <definedName name="_xlnm.Print_Area" localSheetId="1">'квітень'!$A$1:$X$109</definedName>
  </definedNames>
  <calcPr fullCalcOnLoad="1"/>
</workbook>
</file>

<file path=xl/sharedStrings.xml><?xml version="1.0" encoding="utf-8"?>
<sst xmlns="http://schemas.openxmlformats.org/spreadsheetml/2006/main" count="770" uniqueCount="182">
  <si>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</si>
  <si>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</si>
  <si>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</si>
  <si>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</si>
  <si>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</si>
  <si>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</si>
  <si>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</si>
  <si>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</si>
  <si>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</si>
  <si>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</si>
  <si>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</si>
  <si>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</si>
  <si>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</si>
  <si>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</si>
  <si>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</si>
  <si>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</si>
  <si>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</si>
  <si>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</si>
  <si>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</si>
  <si>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</si>
  <si>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</si>
  <si>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</si>
  <si>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</si>
  <si>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</si>
  <si>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</si>
  <si>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</si>
  <si>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</si>
  <si>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</si>
  <si>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</si>
  <si>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</si>
  <si>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</si>
  <si>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</si>
  <si>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</si>
  <si>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</si>
  <si>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</si>
  <si>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</si>
  <si>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</si>
  <si>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</si>
  <si>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</si>
  <si>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</si>
  <si>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</si>
  <si>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</si>
  <si>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</si>
  <si>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</si>
  <si>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</si>
  <si>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</si>
  <si>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</si>
  <si>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</si>
  <si>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</si>
  <si>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</si>
  <si>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</si>
  <si>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</si>
  <si>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</si>
  <si>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</si>
  <si>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</si>
  <si>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</si>
  <si>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</si>
  <si>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</si>
  <si>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</si>
  <si>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</si>
  <si>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</si>
  <si>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</si>
  <si>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</si>
  <si>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</si>
  <si>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</si>
  <si>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</si>
  <si>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</si>
  <si>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</si>
  <si>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</si>
  <si>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</si>
  <si>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</si>
  <si>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</si>
  <si>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</si>
  <si>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</si>
  <si>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</si>
  <si>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</si>
  <si>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</si>
  <si>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</si>
  <si>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</si>
  <si>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</si>
  <si>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</si>
  <si>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</si>
  <si>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</si>
  <si>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</si>
  <si>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</si>
  <si>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</si>
  <si>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</si>
  <si>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</si>
  <si>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</si>
  <si>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</si>
  <si>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</si>
  <si>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</si>
  <si>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</si>
  <si>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</si>
  <si>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</si>
  <si>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</si>
  <si>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</si>
  <si>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</si>
  <si>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</si>
  <si>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</si>
  <si>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</si>
  <si>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</si>
  <si>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</si>
  <si>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</si>
  <si>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</si>
  <si>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</si>
  <si>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</si>
  <si>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</si>
  <si>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</si>
  <si>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</si>
  <si>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</si>
  <si>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</si>
  <si>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</si>
  <si>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</si>
  <si>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</si>
  <si>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</si>
  <si>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</si>
  <si>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</si>
  <si>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</si>
  <si>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</si>
  <si>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</si>
  <si>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</si>
  <si>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</si>
  <si>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</si>
  <si>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</si>
  <si>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</si>
  <si>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</si>
  <si>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</si>
  <si>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</si>
  <si>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</si>
  <si>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</si>
  <si>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</si>
  <si>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</si>
  <si>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</si>
  <si>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</si>
  <si>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</si>
  <si>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</si>
  <si>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</si>
  <si>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</si>
  <si>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</si>
  <si>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</si>
  <si>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</si>
  <si>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</si>
  <si>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</si>
  <si>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</si>
  <si>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</si>
  <si>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</si>
  <si>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</si>
  <si>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</si>
  <si>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</si>
  <si>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</si>
  <si>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</si>
  <si>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</si>
  <si>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</si>
  <si>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</si>
  <si>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</si>
  <si>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</si>
  <si>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</si>
  <si>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</si>
  <si>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</si>
  <si>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</si>
  <si>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</si>
  <si>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</si>
  <si>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</si>
  <si>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</si>
  <si>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</si>
  <si>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</si>
  <si>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</si>
  <si>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</si>
  <si>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</si>
  <si>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</si>
  <si>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t>ж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</si>
  <si>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</si>
  <si>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</si>
  <si>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</si>
  <si>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</si>
  <si>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</si>
  <si>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</si>
  <si>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</si>
  <si>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</si>
  <si>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04.05.2018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</si>
  <si>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03.05.18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</si>
</sst>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</sheetNames>
    <sheetDataSet>
      <sheetData sheetId="21">
        <row r="6">
          <cell r="G6">
            <v>29375.26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10"/>
  <sheetViews>
    <sheetView tabSelected="1" zoomScale="63" zoomScaleNormal="63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5" sqref="B1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01" t="s">
        <v>180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186"/>
    </row>
    <row r="2" spans="2:25" s="1" customFormat="1" ht="15.75" customHeight="1">
      <c r="B2" s="302"/>
      <c r="C2" s="302"/>
      <c r="D2" s="302"/>
      <c r="E2" s="302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3"/>
      <c r="B3" s="305"/>
      <c r="C3" s="306" t="s">
        <v>0</v>
      </c>
      <c r="D3" s="307" t="s">
        <v>131</v>
      </c>
      <c r="E3" s="307" t="s">
        <v>162</v>
      </c>
      <c r="F3" s="25"/>
      <c r="G3" s="308" t="s">
        <v>26</v>
      </c>
      <c r="H3" s="309"/>
      <c r="I3" s="309"/>
      <c r="J3" s="309"/>
      <c r="K3" s="31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1" t="s">
        <v>176</v>
      </c>
      <c r="V3" s="312" t="s">
        <v>177</v>
      </c>
      <c r="W3" s="312"/>
      <c r="X3" s="312"/>
      <c r="Y3" s="194"/>
    </row>
    <row r="4" spans="1:24" ht="22.5" customHeight="1">
      <c r="A4" s="303"/>
      <c r="B4" s="305"/>
      <c r="C4" s="306"/>
      <c r="D4" s="307"/>
      <c r="E4" s="307"/>
      <c r="F4" s="295" t="s">
        <v>173</v>
      </c>
      <c r="G4" s="297" t="s">
        <v>31</v>
      </c>
      <c r="H4" s="285" t="s">
        <v>174</v>
      </c>
      <c r="I4" s="299" t="s">
        <v>175</v>
      </c>
      <c r="J4" s="285" t="s">
        <v>132</v>
      </c>
      <c r="K4" s="29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9"/>
      <c r="V4" s="283" t="s">
        <v>181</v>
      </c>
      <c r="W4" s="285" t="s">
        <v>44</v>
      </c>
      <c r="X4" s="287" t="s">
        <v>43</v>
      </c>
    </row>
    <row r="5" spans="1:24" ht="67.5" customHeight="1">
      <c r="A5" s="304"/>
      <c r="B5" s="305"/>
      <c r="C5" s="306"/>
      <c r="D5" s="307"/>
      <c r="E5" s="307"/>
      <c r="F5" s="296"/>
      <c r="G5" s="298"/>
      <c r="H5" s="286"/>
      <c r="I5" s="300"/>
      <c r="J5" s="286"/>
      <c r="K5" s="300"/>
      <c r="L5" s="288" t="s">
        <v>135</v>
      </c>
      <c r="M5" s="289"/>
      <c r="N5" s="290"/>
      <c r="O5" s="291" t="s">
        <v>153</v>
      </c>
      <c r="P5" s="292"/>
      <c r="Q5" s="293"/>
      <c r="R5" s="294" t="s">
        <v>178</v>
      </c>
      <c r="S5" s="294"/>
      <c r="T5" s="294"/>
      <c r="U5" s="300"/>
      <c r="V5" s="284"/>
      <c r="W5" s="286"/>
      <c r="X5" s="28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600094.74</v>
      </c>
      <c r="G8" s="103">
        <f>G9+G15+G18+G19+G23+G17</f>
        <v>505695.02999999997</v>
      </c>
      <c r="H8" s="103">
        <f>G8-F8</f>
        <v>-94399.71000000002</v>
      </c>
      <c r="I8" s="210">
        <f aca="true" t="shared" si="0" ref="I8:I15">G8/F8</f>
        <v>0.8426919889349471</v>
      </c>
      <c r="J8" s="104">
        <f aca="true" t="shared" si="1" ref="J8:J52">G8-E8</f>
        <v>-1074938.77</v>
      </c>
      <c r="K8" s="156">
        <f aca="true" t="shared" si="2" ref="K8:K14">G8/E8</f>
        <v>0.3199318083669981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505095.97</v>
      </c>
      <c r="S8" s="103">
        <f aca="true" t="shared" si="5" ref="S8:S78">G8-R8</f>
        <v>599.0599999999977</v>
      </c>
      <c r="T8" s="143">
        <f aca="true" t="shared" si="6" ref="T8:T41">G8/R8</f>
        <v>1.0011860320326849</v>
      </c>
      <c r="U8" s="103">
        <f>U9+U15+U18+U19+U23+U17</f>
        <v>125271.39999999997</v>
      </c>
      <c r="V8" s="103">
        <f>V9+V15+V18+V19+V23+V17</f>
        <v>6992.6499999999505</v>
      </c>
      <c r="W8" s="103">
        <f>V8-U8</f>
        <v>-118278.75000000001</v>
      </c>
      <c r="X8" s="143">
        <f aca="true" t="shared" si="7" ref="X8:X15">V8/U8</f>
        <v>0.05582000360816557</v>
      </c>
      <c r="Y8" s="199">
        <f aca="true" t="shared" si="8" ref="Y8:Y22">T8-Q8</f>
        <v>-0.1876303794984462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342289.04</v>
      </c>
      <c r="G9" s="106">
        <v>301013.35</v>
      </c>
      <c r="H9" s="102">
        <f>G9-F9</f>
        <v>-41275.69</v>
      </c>
      <c r="I9" s="208">
        <f t="shared" si="0"/>
        <v>0.8794127617992092</v>
      </c>
      <c r="J9" s="108">
        <f t="shared" si="1"/>
        <v>-655189.65</v>
      </c>
      <c r="K9" s="148">
        <f t="shared" si="2"/>
        <v>0.31480067517043975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281631.58</v>
      </c>
      <c r="S9" s="109">
        <f t="shared" si="5"/>
        <v>19381.76999999996</v>
      </c>
      <c r="T9" s="144">
        <f t="shared" si="6"/>
        <v>1.068819590473483</v>
      </c>
      <c r="U9" s="107">
        <f>F9-квітень!F9</f>
        <v>71637.89999999997</v>
      </c>
      <c r="V9" s="110">
        <f>G9-квітень!G9</f>
        <v>2659.2799999999697</v>
      </c>
      <c r="W9" s="111">
        <f>V9-U9</f>
        <v>-68978.62</v>
      </c>
      <c r="X9" s="148">
        <f t="shared" si="7"/>
        <v>0.03712113280819191</v>
      </c>
      <c r="Y9" s="200">
        <f t="shared" si="8"/>
        <v>-0.16368380141367456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315213.7</v>
      </c>
      <c r="G10" s="94">
        <v>274957.71</v>
      </c>
      <c r="H10" s="71">
        <f aca="true" t="shared" si="9" ref="H10:H47">G10-F10</f>
        <v>-40255.98999999999</v>
      </c>
      <c r="I10" s="209">
        <f t="shared" si="0"/>
        <v>0.8722898465390305</v>
      </c>
      <c r="J10" s="72">
        <f t="shared" si="1"/>
        <v>-606845.29</v>
      </c>
      <c r="K10" s="75">
        <f t="shared" si="2"/>
        <v>0.31181308069943064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257579.18</v>
      </c>
      <c r="S10" s="74">
        <f t="shared" si="5"/>
        <v>17378.530000000028</v>
      </c>
      <c r="T10" s="145">
        <f t="shared" si="6"/>
        <v>1.067468690598363</v>
      </c>
      <c r="U10" s="73">
        <f>F10-квітень!F10</f>
        <v>66100</v>
      </c>
      <c r="V10" s="98">
        <f>G10-квітень!G10</f>
        <v>2356.7600000000093</v>
      </c>
      <c r="W10" s="74">
        <f aca="true" t="shared" si="10" ref="W10:W52">V10-U10</f>
        <v>-63743.23999999999</v>
      </c>
      <c r="X10" s="75">
        <f t="shared" si="7"/>
        <v>0.035654462934947194</v>
      </c>
      <c r="Y10" s="198">
        <f t="shared" si="8"/>
        <v>-0.17468275402462785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18441.3</v>
      </c>
      <c r="G11" s="94">
        <v>16496.58</v>
      </c>
      <c r="H11" s="71">
        <f t="shared" si="9"/>
        <v>-1944.7199999999975</v>
      </c>
      <c r="I11" s="209">
        <f t="shared" si="0"/>
        <v>0.8945453953896961</v>
      </c>
      <c r="J11" s="72">
        <f t="shared" si="1"/>
        <v>-33403.42</v>
      </c>
      <c r="K11" s="75">
        <f t="shared" si="2"/>
        <v>0.3305927855711423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15819.9</v>
      </c>
      <c r="S11" s="74">
        <f t="shared" si="5"/>
        <v>676.6800000000021</v>
      </c>
      <c r="T11" s="145">
        <f t="shared" si="6"/>
        <v>1.0427739745510403</v>
      </c>
      <c r="U11" s="73">
        <f>F11-квітень!F11</f>
        <v>3906.5999999999985</v>
      </c>
      <c r="V11" s="98">
        <f>G11-квітень!G11</f>
        <v>17.44000000000233</v>
      </c>
      <c r="W11" s="74">
        <f t="shared" si="10"/>
        <v>-3889.159999999996</v>
      </c>
      <c r="X11" s="75">
        <f t="shared" si="7"/>
        <v>0.004464240004096231</v>
      </c>
      <c r="Y11" s="198">
        <f t="shared" si="8"/>
        <v>-0.13089049994245516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4096.41</v>
      </c>
      <c r="G12" s="94">
        <v>4180.13</v>
      </c>
      <c r="H12" s="71">
        <f t="shared" si="9"/>
        <v>83.72000000000025</v>
      </c>
      <c r="I12" s="209">
        <f t="shared" si="0"/>
        <v>1.0204374073884206</v>
      </c>
      <c r="J12" s="72">
        <f t="shared" si="1"/>
        <v>-7819.87</v>
      </c>
      <c r="K12" s="75">
        <f t="shared" si="2"/>
        <v>0.3483441666666667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3742.26</v>
      </c>
      <c r="S12" s="74">
        <f t="shared" si="5"/>
        <v>437.8699999999999</v>
      </c>
      <c r="T12" s="145">
        <f t="shared" si="6"/>
        <v>1.1170068354416849</v>
      </c>
      <c r="U12" s="73">
        <f>F12-квітень!F12</f>
        <v>952</v>
      </c>
      <c r="V12" s="98">
        <f>G12-квітень!G12</f>
        <v>190.5999999999999</v>
      </c>
      <c r="W12" s="74">
        <f t="shared" si="10"/>
        <v>-761.4000000000001</v>
      </c>
      <c r="X12" s="75">
        <f t="shared" si="7"/>
        <v>0.20021008403361334</v>
      </c>
      <c r="Y12" s="198">
        <f t="shared" si="8"/>
        <v>0.11635224056086702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4260</v>
      </c>
      <c r="G13" s="94">
        <v>5071.31</v>
      </c>
      <c r="H13" s="71">
        <f t="shared" si="9"/>
        <v>811.3100000000004</v>
      </c>
      <c r="I13" s="209">
        <f t="shared" si="0"/>
        <v>1.190448356807512</v>
      </c>
      <c r="J13" s="72">
        <f t="shared" si="1"/>
        <v>-6928.69</v>
      </c>
      <c r="K13" s="75">
        <f t="shared" si="2"/>
        <v>0.4226091666666667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3882.59</v>
      </c>
      <c r="S13" s="74">
        <f t="shared" si="5"/>
        <v>1188.7200000000003</v>
      </c>
      <c r="T13" s="145">
        <f t="shared" si="6"/>
        <v>1.3061667598175446</v>
      </c>
      <c r="U13" s="73">
        <f>F13-квітень!F13</f>
        <v>646.3000000000002</v>
      </c>
      <c r="V13" s="98">
        <f>G13-квітень!G13</f>
        <v>94.47000000000025</v>
      </c>
      <c r="W13" s="74">
        <f t="shared" si="10"/>
        <v>-551.8299999999999</v>
      </c>
      <c r="X13" s="75">
        <f t="shared" si="7"/>
        <v>0.1461705090515244</v>
      </c>
      <c r="Y13" s="198">
        <f t="shared" si="8"/>
        <v>0.11056775973684152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277.63</v>
      </c>
      <c r="G14" s="94">
        <v>307.62</v>
      </c>
      <c r="H14" s="71">
        <f t="shared" si="9"/>
        <v>29.99000000000001</v>
      </c>
      <c r="I14" s="209">
        <f t="shared" si="0"/>
        <v>1.1080214674206679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607.65</v>
      </c>
      <c r="S14" s="74">
        <f t="shared" si="5"/>
        <v>-300.03</v>
      </c>
      <c r="T14" s="145">
        <f t="shared" si="6"/>
        <v>0.5062453715132066</v>
      </c>
      <c r="U14" s="73">
        <f>F14-квітень!F14</f>
        <v>33</v>
      </c>
      <c r="V14" s="98">
        <f>G14-квітень!G14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365</v>
      </c>
      <c r="G15" s="106">
        <v>337.68</v>
      </c>
      <c r="H15" s="102">
        <f t="shared" si="9"/>
        <v>-27.319999999999993</v>
      </c>
      <c r="I15" s="208">
        <f t="shared" si="0"/>
        <v>0.9251506849315069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293.12</v>
      </c>
      <c r="T15" s="146">
        <f t="shared" si="6"/>
        <v>7.578096947935368</v>
      </c>
      <c r="U15" s="107">
        <f>F15-квітень!F15</f>
        <v>300</v>
      </c>
      <c r="V15" s="110">
        <f>G15-квітень!G15</f>
        <v>0</v>
      </c>
      <c r="W15" s="111">
        <f t="shared" si="10"/>
        <v>-300</v>
      </c>
      <c r="X15" s="148">
        <f t="shared" si="7"/>
        <v>0</v>
      </c>
      <c r="Y15" s="197">
        <f t="shared" si="8"/>
        <v>6.564138114663999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F16-квітень!F16</f>
        <v>0</v>
      </c>
      <c r="V16" s="110">
        <f>G16-квітень!G16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F17-квітень!F17</f>
        <v>0</v>
      </c>
      <c r="V17" s="110">
        <f>G17-квітень!G17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F18-квітень!F18</f>
        <v>20.5</v>
      </c>
      <c r="V18" s="110">
        <f>G18-квітень!G18</f>
        <v>0</v>
      </c>
      <c r="W18" s="111">
        <f t="shared" si="10"/>
        <v>-20.5</v>
      </c>
      <c r="X18" s="148">
        <f aca="true" t="shared" si="13" ref="X18:X35">V18/U18</f>
        <v>0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56263</v>
      </c>
      <c r="G19" s="158">
        <v>38271.33</v>
      </c>
      <c r="H19" s="102">
        <f t="shared" si="9"/>
        <v>-17991.67</v>
      </c>
      <c r="I19" s="208">
        <f t="shared" si="12"/>
        <v>0.6802219931393634</v>
      </c>
      <c r="J19" s="108">
        <f t="shared" si="1"/>
        <v>-113456.67</v>
      </c>
      <c r="K19" s="108">
        <f t="shared" si="11"/>
        <v>25.22364362543499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44995.09</v>
      </c>
      <c r="S19" s="111">
        <f t="shared" si="5"/>
        <v>-6723.759999999995</v>
      </c>
      <c r="T19" s="146">
        <f t="shared" si="6"/>
        <v>0.8505668062893086</v>
      </c>
      <c r="U19" s="107">
        <f>F19-квітень!F19</f>
        <v>11273</v>
      </c>
      <c r="V19" s="110">
        <f>G19-квітень!G19</f>
        <v>1196.1100000000006</v>
      </c>
      <c r="W19" s="111">
        <f t="shared" si="10"/>
        <v>-10076.89</v>
      </c>
      <c r="X19" s="148">
        <f t="shared" si="13"/>
        <v>0.10610396522664779</v>
      </c>
      <c r="Y19" s="197">
        <f t="shared" si="8"/>
        <v>-0.39361380719748196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21963</v>
      </c>
      <c r="G20" s="141">
        <v>16812.19</v>
      </c>
      <c r="H20" s="170">
        <f t="shared" si="9"/>
        <v>-5150.810000000001</v>
      </c>
      <c r="I20" s="211">
        <f t="shared" si="12"/>
        <v>0.7654778491098665</v>
      </c>
      <c r="J20" s="171">
        <f t="shared" si="1"/>
        <v>-49895.81</v>
      </c>
      <c r="K20" s="171">
        <f t="shared" si="11"/>
        <v>25.20265935120225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26128.49</v>
      </c>
      <c r="S20" s="116">
        <f t="shared" si="5"/>
        <v>-9316.300000000003</v>
      </c>
      <c r="T20" s="172">
        <f t="shared" si="6"/>
        <v>0.6434428472521756</v>
      </c>
      <c r="U20" s="136">
        <f>F20-квітень!F20</f>
        <v>4273</v>
      </c>
      <c r="V20" s="124">
        <f>G20-квітень!G20</f>
        <v>28.419999999998254</v>
      </c>
      <c r="W20" s="116">
        <f t="shared" si="10"/>
        <v>-4244.580000000002</v>
      </c>
      <c r="X20" s="180">
        <f t="shared" si="13"/>
        <v>0.006651064825649018</v>
      </c>
      <c r="Y20" s="197">
        <f t="shared" si="8"/>
        <v>-0.4548762016879584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6500</v>
      </c>
      <c r="G21" s="141">
        <v>4825.06</v>
      </c>
      <c r="H21" s="170">
        <f t="shared" si="9"/>
        <v>-1674.9399999999996</v>
      </c>
      <c r="I21" s="211">
        <f t="shared" si="12"/>
        <v>0.7423169230769231</v>
      </c>
      <c r="J21" s="171">
        <f t="shared" si="1"/>
        <v>-10870.939999999999</v>
      </c>
      <c r="K21" s="171">
        <f t="shared" si="11"/>
        <v>30.740698267074418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4093.69</v>
      </c>
      <c r="S21" s="116">
        <f t="shared" si="5"/>
        <v>731.3700000000003</v>
      </c>
      <c r="T21" s="172">
        <f t="shared" si="6"/>
        <v>1.1786578856728283</v>
      </c>
      <c r="U21" s="136">
        <f>F21-квітень!F21</f>
        <v>1300</v>
      </c>
      <c r="V21" s="124">
        <f>G21-квітень!G21</f>
        <v>157.17000000000007</v>
      </c>
      <c r="W21" s="116">
        <f t="shared" si="10"/>
        <v>-1142.83</v>
      </c>
      <c r="X21" s="180">
        <f t="shared" si="13"/>
        <v>0.12090000000000005</v>
      </c>
      <c r="Y21" s="197">
        <f t="shared" si="8"/>
        <v>-0.07414467740030539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27800</v>
      </c>
      <c r="G22" s="141">
        <v>16634.07</v>
      </c>
      <c r="H22" s="170">
        <f t="shared" si="9"/>
        <v>-11165.93</v>
      </c>
      <c r="I22" s="211">
        <f t="shared" si="12"/>
        <v>0.5983478417266187</v>
      </c>
      <c r="J22" s="171">
        <f t="shared" si="1"/>
        <v>-52689.93</v>
      </c>
      <c r="K22" s="171">
        <f t="shared" si="11"/>
        <v>23.994677168080315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14772.92</v>
      </c>
      <c r="S22" s="116">
        <f t="shared" si="5"/>
        <v>1861.1499999999996</v>
      </c>
      <c r="T22" s="172">
        <f t="shared" si="6"/>
        <v>1.125983894856264</v>
      </c>
      <c r="U22" s="136">
        <f>F22-квітень!F22</f>
        <v>5700</v>
      </c>
      <c r="V22" s="124">
        <f>G22-квітень!G22</f>
        <v>1010.5200000000004</v>
      </c>
      <c r="W22" s="116">
        <f t="shared" si="10"/>
        <v>-4689.48</v>
      </c>
      <c r="X22" s="180">
        <f t="shared" si="13"/>
        <v>0.17728421052631588</v>
      </c>
      <c r="Y22" s="197">
        <f t="shared" si="8"/>
        <v>-0.2979460317864089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201037.2</v>
      </c>
      <c r="G23" s="158">
        <v>165878.43</v>
      </c>
      <c r="H23" s="102">
        <f t="shared" si="9"/>
        <v>-35158.77000000002</v>
      </c>
      <c r="I23" s="208">
        <f t="shared" si="12"/>
        <v>0.825113113393939</v>
      </c>
      <c r="J23" s="108">
        <f t="shared" si="1"/>
        <v>-305688.76999999996</v>
      </c>
      <c r="K23" s="108">
        <f t="shared" si="11"/>
        <v>35.175989763495004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178305.79</v>
      </c>
      <c r="S23" s="111">
        <f t="shared" si="5"/>
        <v>-12427.360000000015</v>
      </c>
      <c r="T23" s="147">
        <f t="shared" si="6"/>
        <v>0.9303031045710853</v>
      </c>
      <c r="U23" s="107">
        <f>F23-квітень!F23</f>
        <v>42040</v>
      </c>
      <c r="V23" s="110">
        <f>G23-квітень!G23</f>
        <v>3137.25999999998</v>
      </c>
      <c r="W23" s="111">
        <f t="shared" si="10"/>
        <v>-38902.74000000002</v>
      </c>
      <c r="X23" s="148">
        <f t="shared" si="13"/>
        <v>0.07462559467174072</v>
      </c>
      <c r="Y23" s="197">
        <f>T23-Q23</f>
        <v>-0.16456844919361002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71869.53</v>
      </c>
      <c r="H24" s="102">
        <f t="shared" si="9"/>
        <v>-13833.48000000001</v>
      </c>
      <c r="I24" s="208">
        <f t="shared" si="12"/>
        <v>0.8385881662732732</v>
      </c>
      <c r="J24" s="108">
        <f t="shared" si="1"/>
        <v>-144972.47</v>
      </c>
      <c r="K24" s="148">
        <f aca="true" t="shared" si="14" ref="K24:K41">G24/E24</f>
        <v>0.33143731380452124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81732.13</v>
      </c>
      <c r="S24" s="111">
        <f t="shared" si="5"/>
        <v>-9862.600000000006</v>
      </c>
      <c r="T24" s="147">
        <f t="shared" si="6"/>
        <v>0.8793301973165265</v>
      </c>
      <c r="U24" s="107">
        <f>F24-квітень!F24</f>
        <v>15913</v>
      </c>
      <c r="V24" s="110">
        <f>G24-квітень!G24</f>
        <v>509.66999999999825</v>
      </c>
      <c r="W24" s="111">
        <f t="shared" si="10"/>
        <v>-15403.330000000002</v>
      </c>
      <c r="X24" s="148">
        <f t="shared" si="13"/>
        <v>0.03202853013259588</v>
      </c>
      <c r="Y24" s="197">
        <f aca="true" t="shared" si="15" ref="Y24:Y99">T24-Q24</f>
        <v>-0.16704784751585222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11863.5</v>
      </c>
      <c r="G25" s="141">
        <v>12604.99</v>
      </c>
      <c r="H25" s="170">
        <f t="shared" si="9"/>
        <v>741.4899999999998</v>
      </c>
      <c r="I25" s="211">
        <f t="shared" si="12"/>
        <v>1.062501791208328</v>
      </c>
      <c r="J25" s="171">
        <f t="shared" si="1"/>
        <v>-16179.01</v>
      </c>
      <c r="K25" s="180">
        <f t="shared" si="14"/>
        <v>0.43791655086158976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10136.04</v>
      </c>
      <c r="S25" s="116">
        <f t="shared" si="5"/>
        <v>2468.949999999999</v>
      </c>
      <c r="T25" s="152">
        <f t="shared" si="6"/>
        <v>1.2435813197264414</v>
      </c>
      <c r="U25" s="136">
        <f>F25-квітень!F25</f>
        <v>627</v>
      </c>
      <c r="V25" s="124">
        <f>G25-квітень!G25</f>
        <v>37.8799999999992</v>
      </c>
      <c r="W25" s="116">
        <f t="shared" si="10"/>
        <v>-589.1200000000008</v>
      </c>
      <c r="X25" s="180">
        <f t="shared" si="13"/>
        <v>0.06041467304625072</v>
      </c>
      <c r="Y25" s="197">
        <f t="shared" si="15"/>
        <v>0.11098437377190273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292.61</v>
      </c>
      <c r="G26" s="139">
        <f>G28+G29</f>
        <v>707.3299999999999</v>
      </c>
      <c r="H26" s="158">
        <f t="shared" si="9"/>
        <v>414.7199999999999</v>
      </c>
      <c r="I26" s="212">
        <f t="shared" si="12"/>
        <v>2.4173131471925084</v>
      </c>
      <c r="J26" s="176">
        <f t="shared" si="1"/>
        <v>-814.6700000000001</v>
      </c>
      <c r="K26" s="191">
        <f t="shared" si="14"/>
        <v>0.46473718791064383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197.27</v>
      </c>
      <c r="S26" s="201">
        <f t="shared" si="5"/>
        <v>510.05999999999995</v>
      </c>
      <c r="T26" s="162">
        <f t="shared" si="6"/>
        <v>3.585593349216809</v>
      </c>
      <c r="U26" s="167">
        <f>F26-квітень!F26</f>
        <v>12</v>
      </c>
      <c r="V26" s="167">
        <f>G26-квітень!G26</f>
        <v>9.039999999999964</v>
      </c>
      <c r="W26" s="176">
        <f t="shared" si="10"/>
        <v>-2.9600000000000364</v>
      </c>
      <c r="X26" s="191">
        <f t="shared" si="13"/>
        <v>0.7533333333333303</v>
      </c>
      <c r="Y26" s="197">
        <f t="shared" si="15"/>
        <v>2.579571761394826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11897.66</v>
      </c>
      <c r="H27" s="158">
        <f t="shared" si="9"/>
        <v>326.77000000000044</v>
      </c>
      <c r="I27" s="212">
        <f t="shared" si="12"/>
        <v>1.028240697128743</v>
      </c>
      <c r="J27" s="176">
        <f t="shared" si="1"/>
        <v>-15364.34</v>
      </c>
      <c r="K27" s="191">
        <f t="shared" si="14"/>
        <v>0.4364191915486758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9938.769999999999</v>
      </c>
      <c r="S27" s="201">
        <f t="shared" si="5"/>
        <v>1958.8900000000012</v>
      </c>
      <c r="T27" s="162">
        <f t="shared" si="6"/>
        <v>1.1970958176917266</v>
      </c>
      <c r="U27" s="167">
        <f>F27-квітень!F27</f>
        <v>615</v>
      </c>
      <c r="V27" s="167">
        <f>G27-квітень!G27</f>
        <v>28.840000000000146</v>
      </c>
      <c r="W27" s="176">
        <f t="shared" si="10"/>
        <v>-586.1599999999999</v>
      </c>
      <c r="X27" s="191">
        <f t="shared" si="13"/>
        <v>0.046894308943089665</v>
      </c>
      <c r="Y27" s="197">
        <f t="shared" si="15"/>
        <v>0.05648744860019672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137.8</v>
      </c>
      <c r="G28" s="206">
        <v>168.06</v>
      </c>
      <c r="H28" s="218">
        <f t="shared" si="9"/>
        <v>30.25999999999999</v>
      </c>
      <c r="I28" s="220">
        <f t="shared" si="12"/>
        <v>1.2195936139332364</v>
      </c>
      <c r="J28" s="221">
        <f t="shared" si="1"/>
        <v>-147.94</v>
      </c>
      <c r="K28" s="222">
        <f t="shared" si="14"/>
        <v>0.5318354430379747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164.34</v>
      </c>
      <c r="S28" s="221">
        <f t="shared" si="5"/>
        <v>3.719999999999999</v>
      </c>
      <c r="T28" s="222">
        <f t="shared" si="6"/>
        <v>1.022635998539613</v>
      </c>
      <c r="U28" s="206">
        <f>F28-квітень!F28</f>
        <v>5</v>
      </c>
      <c r="V28" s="206">
        <f>G28-квітень!G28</f>
        <v>0.17000000000001592</v>
      </c>
      <c r="W28" s="221">
        <f t="shared" si="10"/>
        <v>-4.829999999999984</v>
      </c>
      <c r="X28" s="222">
        <f t="shared" si="13"/>
        <v>0.03400000000000318</v>
      </c>
      <c r="Y28" s="277">
        <f t="shared" si="15"/>
        <v>-0.1226650054109506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154.81</v>
      </c>
      <c r="G29" s="206">
        <v>539.27</v>
      </c>
      <c r="H29" s="218">
        <f t="shared" si="9"/>
        <v>384.46</v>
      </c>
      <c r="I29" s="220">
        <f t="shared" si="12"/>
        <v>3.48343130288741</v>
      </c>
      <c r="J29" s="221">
        <f t="shared" si="1"/>
        <v>-666.73</v>
      </c>
      <c r="K29" s="222">
        <f t="shared" si="14"/>
        <v>0.4471558872305141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32.93</v>
      </c>
      <c r="S29" s="221">
        <f t="shared" si="5"/>
        <v>506.34</v>
      </c>
      <c r="T29" s="222">
        <f t="shared" si="6"/>
        <v>16.376252657151532</v>
      </c>
      <c r="U29" s="206">
        <f>F29-квітень!F29</f>
        <v>7</v>
      </c>
      <c r="V29" s="206">
        <f>G29-квітень!G29</f>
        <v>8.870000000000005</v>
      </c>
      <c r="W29" s="221">
        <f t="shared" si="10"/>
        <v>1.8700000000000045</v>
      </c>
      <c r="X29" s="222">
        <f t="shared" si="13"/>
        <v>1.2671428571428578</v>
      </c>
      <c r="Y29" s="277">
        <f t="shared" si="15"/>
        <v>15.401297524489728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345.09</v>
      </c>
      <c r="G30" s="206">
        <v>603.85</v>
      </c>
      <c r="H30" s="218">
        <f t="shared" si="9"/>
        <v>258.76000000000005</v>
      </c>
      <c r="I30" s="220">
        <f t="shared" si="12"/>
        <v>1.7498333768002552</v>
      </c>
      <c r="J30" s="221">
        <f t="shared" si="1"/>
        <v>-1751.15</v>
      </c>
      <c r="K30" s="222">
        <f t="shared" si="14"/>
        <v>0.256411889596603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90.38</v>
      </c>
      <c r="S30" s="221">
        <f t="shared" si="5"/>
        <v>513.47</v>
      </c>
      <c r="T30" s="222">
        <f t="shared" si="6"/>
        <v>6.681234786457181</v>
      </c>
      <c r="U30" s="206">
        <f>F30-квітень!F30</f>
        <v>15</v>
      </c>
      <c r="V30" s="206">
        <f>G30-квітень!G30</f>
        <v>1.1299999999999955</v>
      </c>
      <c r="W30" s="221">
        <f t="shared" si="10"/>
        <v>-13.870000000000005</v>
      </c>
      <c r="X30" s="222">
        <f t="shared" si="13"/>
        <v>0.07533333333333303</v>
      </c>
      <c r="Y30" s="277">
        <f t="shared" si="15"/>
        <v>5.620543422871999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11225.8</v>
      </c>
      <c r="G31" s="206">
        <v>11293.81</v>
      </c>
      <c r="H31" s="218">
        <f t="shared" si="9"/>
        <v>68.01000000000022</v>
      </c>
      <c r="I31" s="220">
        <f t="shared" si="12"/>
        <v>1.0060583655507849</v>
      </c>
      <c r="J31" s="221">
        <f t="shared" si="1"/>
        <v>-13613.19</v>
      </c>
      <c r="K31" s="222">
        <f t="shared" si="14"/>
        <v>0.4534391938009395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9848.39</v>
      </c>
      <c r="S31" s="221">
        <f t="shared" si="5"/>
        <v>1445.42</v>
      </c>
      <c r="T31" s="222">
        <f t="shared" si="6"/>
        <v>1.146767136557346</v>
      </c>
      <c r="U31" s="206">
        <f>F31-квітень!F31</f>
        <v>600</v>
      </c>
      <c r="V31" s="206">
        <f>G31-квітень!G31</f>
        <v>27.709999999999127</v>
      </c>
      <c r="W31" s="221"/>
      <c r="X31" s="222">
        <f t="shared" si="13"/>
        <v>0.046183333333331876</v>
      </c>
      <c r="Y31" s="277">
        <f t="shared" si="15"/>
        <v>-0.002025148680025124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174.03</v>
      </c>
      <c r="G32" s="120">
        <v>486.23</v>
      </c>
      <c r="H32" s="170">
        <f t="shared" si="9"/>
        <v>312.20000000000005</v>
      </c>
      <c r="I32" s="211">
        <f t="shared" si="12"/>
        <v>2.7939435729471933</v>
      </c>
      <c r="J32" s="171">
        <f t="shared" si="1"/>
        <v>204.23000000000002</v>
      </c>
      <c r="K32" s="180">
        <f t="shared" si="14"/>
        <v>1.7242198581560284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-45.48</v>
      </c>
      <c r="S32" s="121">
        <f t="shared" si="5"/>
        <v>531.71</v>
      </c>
      <c r="T32" s="150">
        <f t="shared" si="6"/>
        <v>-10.691072999120493</v>
      </c>
      <c r="U32" s="136">
        <f>F32-квітень!F32</f>
        <v>2</v>
      </c>
      <c r="V32" s="124">
        <f>G32-квітень!G32</f>
        <v>25</v>
      </c>
      <c r="W32" s="116">
        <f t="shared" si="10"/>
        <v>23</v>
      </c>
      <c r="X32" s="180">
        <f t="shared" si="13"/>
        <v>12.5</v>
      </c>
      <c r="Y32" s="198">
        <f t="shared" si="15"/>
        <v>-11.128106133051002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146.34</v>
      </c>
      <c r="H33" s="71">
        <f t="shared" si="9"/>
        <v>118.49000000000001</v>
      </c>
      <c r="I33" s="209">
        <f t="shared" si="12"/>
        <v>5.254578096947935</v>
      </c>
      <c r="J33" s="72">
        <f t="shared" si="1"/>
        <v>46.34</v>
      </c>
      <c r="K33" s="75">
        <f t="shared" si="14"/>
        <v>1.4634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-193.4</v>
      </c>
      <c r="S33" s="72">
        <f t="shared" si="5"/>
        <v>339.74</v>
      </c>
      <c r="T33" s="75">
        <f t="shared" si="6"/>
        <v>-0.7566701137538779</v>
      </c>
      <c r="U33" s="73">
        <f>F33-квітень!F33</f>
        <v>0</v>
      </c>
      <c r="V33" s="98">
        <f>G33-квітень!G33</f>
        <v>25</v>
      </c>
      <c r="W33" s="74">
        <f t="shared" si="10"/>
        <v>25</v>
      </c>
      <c r="X33" s="75" t="e">
        <f t="shared" si="13"/>
        <v>#DIV/0!</v>
      </c>
      <c r="Y33" s="277">
        <f t="shared" si="15"/>
        <v>-1.1709889735483758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146.18</v>
      </c>
      <c r="G34" s="94">
        <v>339.89</v>
      </c>
      <c r="H34" s="71">
        <f t="shared" si="9"/>
        <v>193.70999999999998</v>
      </c>
      <c r="I34" s="209">
        <f t="shared" si="12"/>
        <v>2.325147078943768</v>
      </c>
      <c r="J34" s="72">
        <f t="shared" si="1"/>
        <v>157.89</v>
      </c>
      <c r="K34" s="75">
        <f t="shared" si="14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6"/>
        <v>2.2977961060032452</v>
      </c>
      <c r="U34" s="73">
        <f>F34-квітень!F34</f>
        <v>2</v>
      </c>
      <c r="V34" s="98">
        <f>G34-квітень!G34</f>
        <v>0</v>
      </c>
      <c r="W34" s="74"/>
      <c r="X34" s="75">
        <f t="shared" si="13"/>
        <v>0</v>
      </c>
      <c r="Y34" s="277">
        <f t="shared" si="15"/>
        <v>1.8472006763283177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73665.48000000001</v>
      </c>
      <c r="G35" s="120">
        <v>58778.31</v>
      </c>
      <c r="H35" s="102">
        <f t="shared" si="9"/>
        <v>-14887.170000000013</v>
      </c>
      <c r="I35" s="211">
        <f t="shared" si="12"/>
        <v>0.797908464045846</v>
      </c>
      <c r="J35" s="171">
        <f t="shared" si="1"/>
        <v>-128997.69</v>
      </c>
      <c r="K35" s="180">
        <f t="shared" si="14"/>
        <v>0.3130235493353783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71641.57</v>
      </c>
      <c r="S35" s="122">
        <f t="shared" si="5"/>
        <v>-12863.26000000001</v>
      </c>
      <c r="T35" s="149">
        <f t="shared" si="6"/>
        <v>0.8204497751794104</v>
      </c>
      <c r="U35" s="136">
        <f>F35-квітень!F35</f>
        <v>15284.000000000007</v>
      </c>
      <c r="V35" s="124">
        <f>G35-квітень!G35</f>
        <v>446.7900000000009</v>
      </c>
      <c r="W35" s="116">
        <f t="shared" si="10"/>
        <v>-14837.210000000006</v>
      </c>
      <c r="X35" s="180">
        <f t="shared" si="13"/>
        <v>0.029232530751112318</v>
      </c>
      <c r="Y35" s="198">
        <f t="shared" si="15"/>
        <v>-0.2160040047478089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6" ref="E36:G37">E38+E40</f>
        <v>60690</v>
      </c>
      <c r="F36" s="139">
        <f t="shared" si="16"/>
        <v>24279.230000000003</v>
      </c>
      <c r="G36" s="139">
        <f>G38+G40</f>
        <v>18104.1</v>
      </c>
      <c r="H36" s="158">
        <f t="shared" si="9"/>
        <v>-6175.130000000005</v>
      </c>
      <c r="I36" s="212">
        <f t="shared" si="12"/>
        <v>0.7456620329392653</v>
      </c>
      <c r="J36" s="176">
        <f t="shared" si="1"/>
        <v>-42585.9</v>
      </c>
      <c r="K36" s="191">
        <f t="shared" si="14"/>
        <v>0.2983044982698962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24151.24</v>
      </c>
      <c r="S36" s="140">
        <f t="shared" si="5"/>
        <v>-6047.140000000003</v>
      </c>
      <c r="T36" s="162">
        <f t="shared" si="6"/>
        <v>0.749613684431938</v>
      </c>
      <c r="U36" s="167">
        <f>F36-квітень!F36</f>
        <v>4984</v>
      </c>
      <c r="V36" s="167">
        <f>G36-квітень!G36</f>
        <v>108.18999999999869</v>
      </c>
      <c r="W36" s="176">
        <f t="shared" si="10"/>
        <v>-4875.810000000001</v>
      </c>
      <c r="X36" s="191">
        <f aca="true" t="shared" si="17" ref="X36:X41">V36/U36*100</f>
        <v>2.1707463884429914</v>
      </c>
      <c r="Y36" s="197">
        <f t="shared" si="15"/>
        <v>-0.28589846155053433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6"/>
        <v>127086</v>
      </c>
      <c r="F37" s="139">
        <f t="shared" si="16"/>
        <v>49386.25</v>
      </c>
      <c r="G37" s="139">
        <f t="shared" si="16"/>
        <v>40674.21</v>
      </c>
      <c r="H37" s="158">
        <f t="shared" si="9"/>
        <v>-8712.04</v>
      </c>
      <c r="I37" s="212">
        <f t="shared" si="12"/>
        <v>0.8235938140676807</v>
      </c>
      <c r="J37" s="176">
        <f t="shared" si="1"/>
        <v>-86411.79000000001</v>
      </c>
      <c r="K37" s="191">
        <f t="shared" si="14"/>
        <v>0.3200526415183419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47490.229999999996</v>
      </c>
      <c r="S37" s="140">
        <f t="shared" si="5"/>
        <v>-6816.019999999997</v>
      </c>
      <c r="T37" s="162">
        <f t="shared" si="6"/>
        <v>0.856475321345043</v>
      </c>
      <c r="U37" s="167">
        <f>F37-квітень!F37</f>
        <v>10300</v>
      </c>
      <c r="V37" s="167">
        <f>G37-квітень!G37</f>
        <v>338.59999999999854</v>
      </c>
      <c r="W37" s="176">
        <f t="shared" si="10"/>
        <v>-9961.400000000001</v>
      </c>
      <c r="X37" s="191">
        <f>V37/U37</f>
        <v>0.03287378640776685</v>
      </c>
      <c r="Y37" s="197">
        <f t="shared" si="15"/>
        <v>-0.1804287409191342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23184.4</v>
      </c>
      <c r="G38" s="206">
        <v>17757.21</v>
      </c>
      <c r="H38" s="218">
        <f t="shared" si="9"/>
        <v>-5427.190000000002</v>
      </c>
      <c r="I38" s="220">
        <f t="shared" si="12"/>
        <v>0.7659119925467124</v>
      </c>
      <c r="J38" s="221">
        <f t="shared" si="1"/>
        <v>-39532.79</v>
      </c>
      <c r="K38" s="222">
        <f t="shared" si="14"/>
        <v>0.30995304590679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23545.81</v>
      </c>
      <c r="S38" s="221">
        <f t="shared" si="5"/>
        <v>-5788.600000000002</v>
      </c>
      <c r="T38" s="222">
        <f t="shared" si="6"/>
        <v>0.754155834944731</v>
      </c>
      <c r="U38" s="206">
        <f>F38-квітень!F38</f>
        <v>4700</v>
      </c>
      <c r="V38" s="206">
        <f>G38-квітень!G38</f>
        <v>104.59999999999854</v>
      </c>
      <c r="W38" s="221">
        <f t="shared" si="10"/>
        <v>-4595.4000000000015</v>
      </c>
      <c r="X38" s="222">
        <f t="shared" si="17"/>
        <v>2.225531914893586</v>
      </c>
      <c r="Y38" s="277">
        <f t="shared" si="15"/>
        <v>-0.2828378138538117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41593.45</v>
      </c>
      <c r="G39" s="206">
        <v>34163.64</v>
      </c>
      <c r="H39" s="218">
        <f t="shared" si="9"/>
        <v>-7429.809999999998</v>
      </c>
      <c r="I39" s="220">
        <f t="shared" si="12"/>
        <v>0.8213706725457975</v>
      </c>
      <c r="J39" s="221">
        <f t="shared" si="1"/>
        <v>-71822.36</v>
      </c>
      <c r="K39" s="222">
        <f t="shared" si="14"/>
        <v>0.32234106391410183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39491.46</v>
      </c>
      <c r="S39" s="221">
        <f t="shared" si="5"/>
        <v>-5327.82</v>
      </c>
      <c r="T39" s="222">
        <f t="shared" si="6"/>
        <v>0.8650893129805786</v>
      </c>
      <c r="U39" s="206">
        <f>F39-квітень!F39</f>
        <v>8600</v>
      </c>
      <c r="V39" s="206">
        <f>G39-квітень!G39</f>
        <v>256.3600000000006</v>
      </c>
      <c r="W39" s="221">
        <f t="shared" si="10"/>
        <v>-8343.64</v>
      </c>
      <c r="X39" s="222">
        <f t="shared" si="17"/>
        <v>2.9809302325581464</v>
      </c>
      <c r="Y39" s="277">
        <f t="shared" si="15"/>
        <v>-0.17199273544874405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1094.83</v>
      </c>
      <c r="G40" s="206">
        <v>346.89</v>
      </c>
      <c r="H40" s="218">
        <f t="shared" si="9"/>
        <v>-747.9399999999999</v>
      </c>
      <c r="I40" s="220">
        <f t="shared" si="12"/>
        <v>0.3168437108957555</v>
      </c>
      <c r="J40" s="221">
        <f t="shared" si="1"/>
        <v>-3053.11</v>
      </c>
      <c r="K40" s="222">
        <f t="shared" si="14"/>
        <v>0.10202647058823529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605.43</v>
      </c>
      <c r="S40" s="221">
        <f t="shared" si="5"/>
        <v>-258.53999999999996</v>
      </c>
      <c r="T40" s="222">
        <f t="shared" si="6"/>
        <v>0.5729646697388633</v>
      </c>
      <c r="U40" s="206">
        <f>F40-квітень!F40</f>
        <v>283.9999999999999</v>
      </c>
      <c r="V40" s="206">
        <f>G40-квітень!G40</f>
        <v>3.589999999999975</v>
      </c>
      <c r="W40" s="221">
        <f t="shared" si="10"/>
        <v>-280.4099999999999</v>
      </c>
      <c r="X40" s="222">
        <f t="shared" si="17"/>
        <v>1.2640845070422453</v>
      </c>
      <c r="Y40" s="277">
        <f t="shared" si="15"/>
        <v>-0.4382057898083702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7792.8</v>
      </c>
      <c r="G41" s="206">
        <v>6510.57</v>
      </c>
      <c r="H41" s="218">
        <f t="shared" si="9"/>
        <v>-1282.2300000000005</v>
      </c>
      <c r="I41" s="220">
        <f t="shared" si="12"/>
        <v>0.8354596550662149</v>
      </c>
      <c r="J41" s="221">
        <f t="shared" si="1"/>
        <v>-14589.43</v>
      </c>
      <c r="K41" s="222">
        <f t="shared" si="14"/>
        <v>0.30855781990521325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7998.77</v>
      </c>
      <c r="S41" s="221">
        <f t="shared" si="5"/>
        <v>-1488.2000000000007</v>
      </c>
      <c r="T41" s="222">
        <f t="shared" si="6"/>
        <v>0.8139463942581171</v>
      </c>
      <c r="U41" s="206">
        <f>F41-квітень!F41</f>
        <v>1700</v>
      </c>
      <c r="V41" s="206">
        <f>G41-квітень!G41</f>
        <v>82.23999999999978</v>
      </c>
      <c r="W41" s="221">
        <f t="shared" si="10"/>
        <v>-1617.7600000000002</v>
      </c>
      <c r="X41" s="222">
        <f t="shared" si="17"/>
        <v>4.837647058823516</v>
      </c>
      <c r="Y41" s="277">
        <f t="shared" si="15"/>
        <v>-0.22206456094398352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77.43</v>
      </c>
      <c r="G43" s="106">
        <v>67.96</v>
      </c>
      <c r="H43" s="102">
        <f t="shared" si="9"/>
        <v>-9.470000000000013</v>
      </c>
      <c r="I43" s="208">
        <f>G43/F43</f>
        <v>0.8776959834689395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75.23</v>
      </c>
      <c r="S43" s="108">
        <f t="shared" si="5"/>
        <v>-7.27000000000001</v>
      </c>
      <c r="T43" s="148">
        <f aca="true" t="shared" si="18" ref="T43:T51">G43/R43</f>
        <v>0.9033630200717797</v>
      </c>
      <c r="U43" s="107">
        <f>F43-квітень!F43</f>
        <v>27.000000000000007</v>
      </c>
      <c r="V43" s="110">
        <f>G43-квітень!G43</f>
        <v>0</v>
      </c>
      <c r="W43" s="111">
        <f t="shared" si="10"/>
        <v>-27.000000000000007</v>
      </c>
      <c r="X43" s="148">
        <f>V43/U43</f>
        <v>0</v>
      </c>
      <c r="Y43" s="278">
        <f t="shared" si="15"/>
        <v>-0.2087400280088223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47.9</v>
      </c>
      <c r="G44" s="94">
        <v>56.05</v>
      </c>
      <c r="H44" s="71">
        <f t="shared" si="9"/>
        <v>8.149999999999999</v>
      </c>
      <c r="I44" s="209">
        <f>G44/F44</f>
        <v>1.1701461377870563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44.26</v>
      </c>
      <c r="S44" s="72">
        <f t="shared" si="5"/>
        <v>11.79</v>
      </c>
      <c r="T44" s="75">
        <f t="shared" si="18"/>
        <v>1.2663804789877993</v>
      </c>
      <c r="U44" s="73">
        <f>F44-квітень!F44</f>
        <v>17</v>
      </c>
      <c r="V44" s="98">
        <f>G44-квітень!G44</f>
        <v>0</v>
      </c>
      <c r="W44" s="74">
        <f t="shared" si="10"/>
        <v>-17</v>
      </c>
      <c r="X44" s="75">
        <f>V44/U44</f>
        <v>0</v>
      </c>
      <c r="Y44" s="277">
        <f t="shared" si="15"/>
        <v>0.20583812035841098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29.53</v>
      </c>
      <c r="G45" s="94">
        <v>11.91</v>
      </c>
      <c r="H45" s="71">
        <f t="shared" si="9"/>
        <v>-17.62</v>
      </c>
      <c r="I45" s="209">
        <f>G45/F45</f>
        <v>0.4033186589908567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-19.06</v>
      </c>
      <c r="T45" s="75">
        <f t="shared" si="18"/>
        <v>0.38456570875040363</v>
      </c>
      <c r="U45" s="73">
        <f>F45-квітень!F45</f>
        <v>10</v>
      </c>
      <c r="V45" s="98">
        <f>G45-квітень!G45</f>
        <v>0</v>
      </c>
      <c r="W45" s="74">
        <f t="shared" si="10"/>
        <v>-10</v>
      </c>
      <c r="X45" s="75">
        <f>V45/U45</f>
        <v>0</v>
      </c>
      <c r="Y45" s="277">
        <f t="shared" si="15"/>
        <v>-0.8070685324947325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-26.77</v>
      </c>
      <c r="S46" s="108">
        <f t="shared" si="5"/>
        <v>25.59</v>
      </c>
      <c r="T46" s="148">
        <f t="shared" si="18"/>
        <v>0.04407919312663429</v>
      </c>
      <c r="U46" s="107">
        <f>F46-квітень!F46</f>
        <v>0</v>
      </c>
      <c r="V46" s="110">
        <f>G46-квітень!G46</f>
        <v>0</v>
      </c>
      <c r="W46" s="111">
        <f t="shared" si="10"/>
        <v>0</v>
      </c>
      <c r="X46" s="148"/>
      <c r="Y46" s="197">
        <f t="shared" si="15"/>
        <v>0.04407919312663429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115256.76</v>
      </c>
      <c r="G47" s="113">
        <v>93942.12</v>
      </c>
      <c r="H47" s="102">
        <f t="shared" si="9"/>
        <v>-21314.64</v>
      </c>
      <c r="I47" s="208">
        <f>G47/F47</f>
        <v>0.8150682007719113</v>
      </c>
      <c r="J47" s="108">
        <f t="shared" si="1"/>
        <v>-160608.68</v>
      </c>
      <c r="K47" s="148">
        <f>G47/E47</f>
        <v>0.36905057850927986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96524.99</v>
      </c>
      <c r="S47" s="123">
        <f t="shared" si="5"/>
        <v>-2582.87000000001</v>
      </c>
      <c r="T47" s="160">
        <f t="shared" si="18"/>
        <v>0.97324143726925</v>
      </c>
      <c r="U47" s="107">
        <f>F47-квітень!F47</f>
        <v>26100</v>
      </c>
      <c r="V47" s="110">
        <f>G47-квітень!G47</f>
        <v>2627.5800000000017</v>
      </c>
      <c r="W47" s="111">
        <f t="shared" si="10"/>
        <v>-23472.42</v>
      </c>
      <c r="X47" s="148">
        <f>V47/U47</f>
        <v>0.10067356321839087</v>
      </c>
      <c r="Y47" s="197">
        <f t="shared" si="15"/>
        <v>-0.16636019721565398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F48-квітень!F48</f>
        <v>0</v>
      </c>
      <c r="V48" s="98">
        <f>G48-квітень!G48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25483.87</v>
      </c>
      <c r="G49" s="94">
        <v>18234.13</v>
      </c>
      <c r="H49" s="71">
        <f>G49-F49</f>
        <v>-7249.739999999998</v>
      </c>
      <c r="I49" s="209">
        <f>G49/F49</f>
        <v>0.7155165208423996</v>
      </c>
      <c r="J49" s="72">
        <f t="shared" si="1"/>
        <v>-37480.869999999995</v>
      </c>
      <c r="K49" s="75">
        <f>G49/E49</f>
        <v>0.32727506057614647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19261.69</v>
      </c>
      <c r="S49" s="85">
        <f t="shared" si="5"/>
        <v>-1027.5599999999977</v>
      </c>
      <c r="T49" s="153">
        <f t="shared" si="18"/>
        <v>0.9466526561272662</v>
      </c>
      <c r="U49" s="73">
        <f>F49-квітень!F49</f>
        <v>6500</v>
      </c>
      <c r="V49" s="98">
        <f>G49-квітень!G49</f>
        <v>310.97000000000116</v>
      </c>
      <c r="W49" s="74">
        <f t="shared" si="10"/>
        <v>-6189.029999999999</v>
      </c>
      <c r="X49" s="75">
        <f>V49/U49</f>
        <v>0.047841538461538644</v>
      </c>
      <c r="Y49" s="197">
        <f t="shared" si="15"/>
        <v>-0.2906242553950541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89740.49</v>
      </c>
      <c r="G50" s="94">
        <v>75675.59</v>
      </c>
      <c r="H50" s="71">
        <f>G50-F50</f>
        <v>-14064.900000000009</v>
      </c>
      <c r="I50" s="209">
        <f>G50/F50</f>
        <v>0.8432714151661084</v>
      </c>
      <c r="J50" s="72">
        <f t="shared" si="1"/>
        <v>-123079.41</v>
      </c>
      <c r="K50" s="75">
        <f>G50/E50</f>
        <v>0.3807481069658625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77240.19</v>
      </c>
      <c r="S50" s="85">
        <f t="shared" si="5"/>
        <v>-1564.6000000000058</v>
      </c>
      <c r="T50" s="153">
        <f t="shared" si="18"/>
        <v>0.9797437059644726</v>
      </c>
      <c r="U50" s="73">
        <f>F50-квітень!F50</f>
        <v>19600</v>
      </c>
      <c r="V50" s="98">
        <f>G50-квітень!G50</f>
        <v>2316.6199999999953</v>
      </c>
      <c r="W50" s="74">
        <f t="shared" si="10"/>
        <v>-17283.380000000005</v>
      </c>
      <c r="X50" s="75">
        <f>V50/U50</f>
        <v>0.11819489795918343</v>
      </c>
      <c r="Y50" s="197">
        <f t="shared" si="15"/>
        <v>-0.13516476109093734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8"/>
        <v>1.4036379385015156</v>
      </c>
      <c r="U51" s="73">
        <f>F51-квітень!F51</f>
        <v>0</v>
      </c>
      <c r="V51" s="98">
        <f>G51-квітень!G51</f>
        <v>0</v>
      </c>
      <c r="W51" s="74">
        <f t="shared" si="10"/>
        <v>0</v>
      </c>
      <c r="X51" s="75"/>
      <c r="Y51" s="197">
        <f t="shared" si="15"/>
        <v>0.2089018746245379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F52-квітень!F52</f>
        <v>0</v>
      </c>
      <c r="V52" s="99">
        <f>G52-квітень!G52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19247.91</v>
      </c>
      <c r="G53" s="103">
        <f>G54+G55+G56+G57+G58+G60+G62+G63+G64+G65+G66+G71+G72+G76+G59+G61</f>
        <v>18139.059999999998</v>
      </c>
      <c r="H53" s="103">
        <f>H54+H55+H56+H57+H58+H60+H62+H63+H64+H65+H66+H71+H72+H76+H59+H61</f>
        <v>-1108.8500000000001</v>
      </c>
      <c r="I53" s="143">
        <f aca="true" t="shared" si="19" ref="I53:I72">G53/F53</f>
        <v>0.942391147922034</v>
      </c>
      <c r="J53" s="104">
        <f>G53-E53</f>
        <v>-29109.840000000004</v>
      </c>
      <c r="K53" s="156">
        <f aca="true" t="shared" si="20" ref="K53:K72">G53/E53</f>
        <v>0.3839043871920827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27355.12</v>
      </c>
      <c r="S53" s="103">
        <f t="shared" si="5"/>
        <v>-9216.060000000001</v>
      </c>
      <c r="T53" s="143">
        <f>G53/R53</f>
        <v>0.6630956106206077</v>
      </c>
      <c r="U53" s="103">
        <f>U54+U55+U56+U57+U58+U60+U62+U63+U64+U65+U66+U71+U72+U76+U59+U61</f>
        <v>4857.360000000001</v>
      </c>
      <c r="V53" s="103">
        <f>V54+V55+V56+V57+V58+V60+V62+V63+V64+V65+V66+V71+V72+V76+V59+V61</f>
        <v>2003.2700000000007</v>
      </c>
      <c r="W53" s="103">
        <f>W54+W55+W56+W57+W58+W60+W62+W63+W64+W65+W66+W71+W72+W76</f>
        <v>-2844.0899999999992</v>
      </c>
      <c r="X53" s="143">
        <f>V53/U53</f>
        <v>0.41241950359866275</v>
      </c>
      <c r="Y53" s="197">
        <f t="shared" si="15"/>
        <v>-0.01791091306931425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1106.11</v>
      </c>
      <c r="G54" s="106">
        <v>58.91</v>
      </c>
      <c r="H54" s="102">
        <f aca="true" t="shared" si="21" ref="H54:H78">G54-F54</f>
        <v>-1047.1999999999998</v>
      </c>
      <c r="I54" s="213">
        <f t="shared" si="19"/>
        <v>0.05325871748741084</v>
      </c>
      <c r="J54" s="115">
        <f>G54-E54</f>
        <v>-2591.09</v>
      </c>
      <c r="K54" s="155">
        <f t="shared" si="20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-2145.86</v>
      </c>
      <c r="T54" s="155">
        <f>G54/R54</f>
        <v>0.026719340339355125</v>
      </c>
      <c r="U54" s="107">
        <f>F54-квітень!F54</f>
        <v>1100</v>
      </c>
      <c r="V54" s="110">
        <f>G54-квітень!G54</f>
        <v>0</v>
      </c>
      <c r="W54" s="111">
        <f aca="true" t="shared" si="22" ref="W54:W78">V54-U54</f>
        <v>-1100</v>
      </c>
      <c r="X54" s="155">
        <f>V54/U54</f>
        <v>0</v>
      </c>
      <c r="Y54" s="197">
        <f t="shared" si="15"/>
        <v>-0.9793703497090891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1500.08</v>
      </c>
      <c r="G55" s="106">
        <v>3366.37</v>
      </c>
      <c r="H55" s="102">
        <f t="shared" si="21"/>
        <v>1866.29</v>
      </c>
      <c r="I55" s="213">
        <f t="shared" si="19"/>
        <v>2.2441269798944057</v>
      </c>
      <c r="J55" s="115">
        <f aca="true" t="shared" si="23" ref="J55:J78">G55-E55</f>
        <v>-1633.63</v>
      </c>
      <c r="K55" s="155">
        <f t="shared" si="20"/>
        <v>0.6732739999999999</v>
      </c>
      <c r="L55" s="115"/>
      <c r="M55" s="115"/>
      <c r="N55" s="115"/>
      <c r="O55" s="115">
        <v>27997.6</v>
      </c>
      <c r="P55" s="115">
        <f aca="true" t="shared" si="24" ref="P55:P72">E55-O55</f>
        <v>-22997.6</v>
      </c>
      <c r="Q55" s="155">
        <f aca="true" t="shared" si="25" ref="Q55:Q72">E55/O55</f>
        <v>0.17858673600594338</v>
      </c>
      <c r="R55" s="115">
        <v>10479.16</v>
      </c>
      <c r="S55" s="115">
        <f t="shared" si="5"/>
        <v>-7112.79</v>
      </c>
      <c r="T55" s="155">
        <f aca="true" t="shared" si="26" ref="T55:T78">G55/R55</f>
        <v>0.3212442600361098</v>
      </c>
      <c r="U55" s="107">
        <f>F55-квітень!F55</f>
        <v>499.9999999999999</v>
      </c>
      <c r="V55" s="110">
        <f>G55-квітень!G55</f>
        <v>1129.1999999999998</v>
      </c>
      <c r="W55" s="111">
        <f t="shared" si="22"/>
        <v>629.1999999999999</v>
      </c>
      <c r="X55" s="155">
        <f aca="true" t="shared" si="27" ref="X55:X77">V55/U55</f>
        <v>2.2584</v>
      </c>
      <c r="Y55" s="197">
        <f t="shared" si="15"/>
        <v>0.1426575240301664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56</v>
      </c>
      <c r="G56" s="106">
        <v>51.82</v>
      </c>
      <c r="H56" s="102">
        <f t="shared" si="21"/>
        <v>-4.18</v>
      </c>
      <c r="I56" s="213">
        <f t="shared" si="19"/>
        <v>0.9253571428571429</v>
      </c>
      <c r="J56" s="115">
        <f t="shared" si="23"/>
        <v>-106.18</v>
      </c>
      <c r="K56" s="155">
        <f t="shared" si="20"/>
        <v>0.3279746835443038</v>
      </c>
      <c r="L56" s="115"/>
      <c r="M56" s="115"/>
      <c r="N56" s="115"/>
      <c r="O56" s="115">
        <v>153.3</v>
      </c>
      <c r="P56" s="115">
        <f t="shared" si="24"/>
        <v>4.699999999999989</v>
      </c>
      <c r="Q56" s="155">
        <f t="shared" si="25"/>
        <v>1.030658838878017</v>
      </c>
      <c r="R56" s="115">
        <v>92.8</v>
      </c>
      <c r="S56" s="115">
        <f t="shared" si="5"/>
        <v>-40.98</v>
      </c>
      <c r="T56" s="155">
        <f t="shared" si="26"/>
        <v>0.5584051724137932</v>
      </c>
      <c r="U56" s="107">
        <f>F56-квітень!F56</f>
        <v>14</v>
      </c>
      <c r="V56" s="110">
        <f>G56-квітень!G56</f>
        <v>0</v>
      </c>
      <c r="W56" s="111">
        <f t="shared" si="22"/>
        <v>-14</v>
      </c>
      <c r="X56" s="155">
        <f t="shared" si="27"/>
        <v>0</v>
      </c>
      <c r="Y56" s="197">
        <f t="shared" si="15"/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6</v>
      </c>
      <c r="G57" s="106">
        <v>2.02</v>
      </c>
      <c r="H57" s="102">
        <f t="shared" si="21"/>
        <v>-3.98</v>
      </c>
      <c r="I57" s="213">
        <f t="shared" si="19"/>
        <v>0.33666666666666667</v>
      </c>
      <c r="J57" s="115">
        <f t="shared" si="23"/>
        <v>-10.98</v>
      </c>
      <c r="K57" s="155">
        <f t="shared" si="20"/>
        <v>0.1553846153846154</v>
      </c>
      <c r="L57" s="115"/>
      <c r="M57" s="115"/>
      <c r="N57" s="115"/>
      <c r="O57" s="115">
        <v>12.95</v>
      </c>
      <c r="P57" s="115">
        <f t="shared" si="24"/>
        <v>0.05000000000000071</v>
      </c>
      <c r="Q57" s="225">
        <f t="shared" si="25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 t="shared" si="22"/>
        <v>-1</v>
      </c>
      <c r="X57" s="155">
        <f t="shared" si="27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268.43</v>
      </c>
      <c r="G58" s="106">
        <v>246.63</v>
      </c>
      <c r="H58" s="102">
        <f t="shared" si="21"/>
        <v>-21.80000000000001</v>
      </c>
      <c r="I58" s="213">
        <f t="shared" si="19"/>
        <v>0.918787020824796</v>
      </c>
      <c r="J58" s="115">
        <f t="shared" si="23"/>
        <v>-497.37</v>
      </c>
      <c r="K58" s="155">
        <f t="shared" si="20"/>
        <v>0.33149193548387096</v>
      </c>
      <c r="L58" s="115"/>
      <c r="M58" s="115"/>
      <c r="N58" s="115"/>
      <c r="O58" s="115">
        <v>705.31</v>
      </c>
      <c r="P58" s="115">
        <f t="shared" si="24"/>
        <v>38.690000000000055</v>
      </c>
      <c r="Q58" s="155">
        <f t="shared" si="25"/>
        <v>1.0548553118486907</v>
      </c>
      <c r="R58" s="115">
        <v>442.26</v>
      </c>
      <c r="S58" s="115">
        <f t="shared" si="5"/>
        <v>-195.63</v>
      </c>
      <c r="T58" s="155">
        <f t="shared" si="26"/>
        <v>0.5576583909917243</v>
      </c>
      <c r="U58" s="107">
        <f>F58-квітень!F58</f>
        <v>60</v>
      </c>
      <c r="V58" s="110">
        <f>G58-квітень!G58</f>
        <v>0.8499999999999943</v>
      </c>
      <c r="W58" s="111">
        <f t="shared" si="22"/>
        <v>-59.150000000000006</v>
      </c>
      <c r="X58" s="155">
        <f t="shared" si="27"/>
        <v>0.014166666666666572</v>
      </c>
      <c r="Y58" s="197">
        <f t="shared" si="15"/>
        <v>-0.49719692085696643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40</v>
      </c>
      <c r="G59" s="106">
        <v>39.22</v>
      </c>
      <c r="H59" s="102">
        <f t="shared" si="21"/>
        <v>-0.7800000000000011</v>
      </c>
      <c r="I59" s="213">
        <f t="shared" si="19"/>
        <v>0.9804999999999999</v>
      </c>
      <c r="J59" s="115">
        <f t="shared" si="23"/>
        <v>-76.28</v>
      </c>
      <c r="K59" s="155">
        <f t="shared" si="20"/>
        <v>0.3395670995670996</v>
      </c>
      <c r="L59" s="115"/>
      <c r="M59" s="115"/>
      <c r="N59" s="115"/>
      <c r="O59" s="115">
        <v>114.3</v>
      </c>
      <c r="P59" s="115">
        <f t="shared" si="24"/>
        <v>1.2000000000000028</v>
      </c>
      <c r="Q59" s="155">
        <f t="shared" si="25"/>
        <v>1.010498687664042</v>
      </c>
      <c r="R59" s="115">
        <v>1.01</v>
      </c>
      <c r="S59" s="115">
        <f t="shared" si="5"/>
        <v>38.21</v>
      </c>
      <c r="T59" s="155">
        <f t="shared" si="26"/>
        <v>38.83168316831683</v>
      </c>
      <c r="U59" s="107">
        <f>F59-квітень!F59</f>
        <v>10</v>
      </c>
      <c r="V59" s="110">
        <f>G59-квітень!G59</f>
        <v>0</v>
      </c>
      <c r="W59" s="111">
        <f t="shared" si="22"/>
        <v>-10</v>
      </c>
      <c r="X59" s="155">
        <f t="shared" si="27"/>
        <v>0</v>
      </c>
      <c r="Y59" s="197">
        <f t="shared" si="15"/>
        <v>37.82118448065279</v>
      </c>
    </row>
    <row r="60" spans="1:25" s="6" customFormat="1" ht="30.75">
      <c r="A60" s="8"/>
      <c r="B60" s="275" t="s">
        <v>89</v>
      </c>
      <c r="C60" s="40">
        <v>22010300</v>
      </c>
      <c r="D60" s="249">
        <v>1284</v>
      </c>
      <c r="E60" s="102">
        <v>1284</v>
      </c>
      <c r="F60" s="102">
        <v>498</v>
      </c>
      <c r="G60" s="106">
        <v>385.77</v>
      </c>
      <c r="H60" s="102">
        <f t="shared" si="21"/>
        <v>-112.23000000000002</v>
      </c>
      <c r="I60" s="213">
        <f t="shared" si="19"/>
        <v>0.7746385542168674</v>
      </c>
      <c r="J60" s="115">
        <f t="shared" si="23"/>
        <v>-898.23</v>
      </c>
      <c r="K60" s="155">
        <f t="shared" si="20"/>
        <v>0.3004439252336448</v>
      </c>
      <c r="L60" s="115"/>
      <c r="M60" s="115"/>
      <c r="N60" s="115"/>
      <c r="O60" s="115">
        <v>1205.14</v>
      </c>
      <c r="P60" s="115">
        <f t="shared" si="24"/>
        <v>78.8599999999999</v>
      </c>
      <c r="Q60" s="155">
        <f t="shared" si="25"/>
        <v>1.0654363808354215</v>
      </c>
      <c r="R60" s="115">
        <v>505.13</v>
      </c>
      <c r="S60" s="115">
        <f t="shared" si="5"/>
        <v>-119.36000000000001</v>
      </c>
      <c r="T60" s="155">
        <f t="shared" si="26"/>
        <v>0.763704392928553</v>
      </c>
      <c r="U60" s="107">
        <f>F60-квітень!F60</f>
        <v>114</v>
      </c>
      <c r="V60" s="110">
        <f>G60-квітень!G60</f>
        <v>9.379999999999995</v>
      </c>
      <c r="W60" s="111">
        <f t="shared" si="22"/>
        <v>-104.62</v>
      </c>
      <c r="X60" s="155">
        <f t="shared" si="27"/>
        <v>0.08228070175438593</v>
      </c>
      <c r="Y60" s="197">
        <f t="shared" si="15"/>
        <v>-0.3017319879068685</v>
      </c>
    </row>
    <row r="61" spans="1:25" s="6" customFormat="1" ht="18" hidden="1">
      <c r="A61" s="8"/>
      <c r="B61" s="275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1"/>
        <v>0</v>
      </c>
      <c r="I61" s="213" t="e">
        <f t="shared" si="19"/>
        <v>#DIV/0!</v>
      </c>
      <c r="J61" s="115">
        <f t="shared" si="23"/>
        <v>0</v>
      </c>
      <c r="K61" s="155" t="e">
        <f t="shared" si="20"/>
        <v>#DIV/0!</v>
      </c>
      <c r="L61" s="115"/>
      <c r="M61" s="115"/>
      <c r="N61" s="115"/>
      <c r="O61" s="115">
        <v>23.38</v>
      </c>
      <c r="P61" s="115">
        <f t="shared" si="24"/>
        <v>-23.38</v>
      </c>
      <c r="Q61" s="155">
        <f t="shared" si="25"/>
        <v>0</v>
      </c>
      <c r="R61" s="115">
        <v>0</v>
      </c>
      <c r="S61" s="115">
        <f t="shared" si="5"/>
        <v>0</v>
      </c>
      <c r="T61" s="155"/>
      <c r="U61" s="107">
        <f>F61-квітень!F61</f>
        <v>0</v>
      </c>
      <c r="V61" s="110">
        <f>G61-квітень!G61</f>
        <v>0</v>
      </c>
      <c r="W61" s="111">
        <f t="shared" si="22"/>
        <v>0</v>
      </c>
      <c r="X61" s="155" t="e">
        <f t="shared" si="27"/>
        <v>#DIV/0!</v>
      </c>
      <c r="Y61" s="197">
        <f t="shared" si="15"/>
        <v>0</v>
      </c>
    </row>
    <row r="62" spans="1:25" s="6" customFormat="1" ht="18">
      <c r="A62" s="8"/>
      <c r="B62" s="276" t="s">
        <v>65</v>
      </c>
      <c r="C62" s="57">
        <v>22012500</v>
      </c>
      <c r="D62" s="248">
        <v>21260</v>
      </c>
      <c r="E62" s="102">
        <v>21260</v>
      </c>
      <c r="F62" s="102">
        <v>9290</v>
      </c>
      <c r="G62" s="106">
        <v>8552.51</v>
      </c>
      <c r="H62" s="102">
        <f t="shared" si="21"/>
        <v>-737.4899999999998</v>
      </c>
      <c r="I62" s="213">
        <f t="shared" si="19"/>
        <v>0.9206146393972013</v>
      </c>
      <c r="J62" s="115">
        <f t="shared" si="23"/>
        <v>-12707.49</v>
      </c>
      <c r="K62" s="155">
        <f t="shared" si="20"/>
        <v>0.40228174976481657</v>
      </c>
      <c r="L62" s="115"/>
      <c r="M62" s="115"/>
      <c r="N62" s="115"/>
      <c r="O62" s="115">
        <v>20110.14</v>
      </c>
      <c r="P62" s="115">
        <f t="shared" si="24"/>
        <v>1149.8600000000006</v>
      </c>
      <c r="Q62" s="155">
        <f t="shared" si="25"/>
        <v>1.0571781200926498</v>
      </c>
      <c r="R62" s="115">
        <v>6250.27</v>
      </c>
      <c r="S62" s="115">
        <f t="shared" si="5"/>
        <v>2302.24</v>
      </c>
      <c r="T62" s="155">
        <f t="shared" si="26"/>
        <v>1.3683424876045354</v>
      </c>
      <c r="U62" s="107">
        <f>F62-квітень!F62</f>
        <v>1800</v>
      </c>
      <c r="V62" s="110">
        <f>G62-квітень!G62</f>
        <v>260.0500000000011</v>
      </c>
      <c r="W62" s="111">
        <f t="shared" si="22"/>
        <v>-1539.949999999999</v>
      </c>
      <c r="X62" s="155">
        <f t="shared" si="27"/>
        <v>0.14447222222222283</v>
      </c>
      <c r="Y62" s="197">
        <f t="shared" si="15"/>
        <v>0.3111643675118856</v>
      </c>
    </row>
    <row r="63" spans="1:25" s="6" customFormat="1" ht="31.5">
      <c r="A63" s="8"/>
      <c r="B63" s="276" t="s">
        <v>86</v>
      </c>
      <c r="C63" s="57">
        <v>22012600</v>
      </c>
      <c r="D63" s="248">
        <v>767</v>
      </c>
      <c r="E63" s="102">
        <v>767</v>
      </c>
      <c r="F63" s="102">
        <v>313</v>
      </c>
      <c r="G63" s="106">
        <v>280.71</v>
      </c>
      <c r="H63" s="102">
        <f t="shared" si="21"/>
        <v>-32.29000000000002</v>
      </c>
      <c r="I63" s="213">
        <f t="shared" si="19"/>
        <v>0.8968370607028754</v>
      </c>
      <c r="J63" s="115">
        <f t="shared" si="23"/>
        <v>-486.29</v>
      </c>
      <c r="K63" s="155">
        <f t="shared" si="20"/>
        <v>0.3659843546284224</v>
      </c>
      <c r="L63" s="115"/>
      <c r="M63" s="115"/>
      <c r="N63" s="115"/>
      <c r="O63" s="115">
        <v>710.04</v>
      </c>
      <c r="P63" s="115">
        <f t="shared" si="24"/>
        <v>56.960000000000036</v>
      </c>
      <c r="Q63" s="155">
        <f t="shared" si="25"/>
        <v>1.0802208326291478</v>
      </c>
      <c r="R63" s="115">
        <v>216.35</v>
      </c>
      <c r="S63" s="115">
        <f t="shared" si="5"/>
        <v>64.35999999999999</v>
      </c>
      <c r="T63" s="155">
        <f t="shared" si="26"/>
        <v>1.2974809336722901</v>
      </c>
      <c r="U63" s="107">
        <f>F63-квітень!F63</f>
        <v>64</v>
      </c>
      <c r="V63" s="110">
        <f>G63-квітень!G63</f>
        <v>7.859999999999957</v>
      </c>
      <c r="W63" s="111">
        <f t="shared" si="22"/>
        <v>-56.14000000000004</v>
      </c>
      <c r="X63" s="155">
        <f t="shared" si="27"/>
        <v>0.12281249999999932</v>
      </c>
      <c r="Y63" s="197">
        <f t="shared" si="15"/>
        <v>0.2172601010431423</v>
      </c>
    </row>
    <row r="64" spans="1:25" s="6" customFormat="1" ht="31.5">
      <c r="A64" s="8"/>
      <c r="B64" s="276" t="s">
        <v>90</v>
      </c>
      <c r="C64" s="57">
        <v>22012900</v>
      </c>
      <c r="D64" s="248">
        <v>44</v>
      </c>
      <c r="E64" s="102">
        <v>44</v>
      </c>
      <c r="F64" s="102">
        <v>16</v>
      </c>
      <c r="G64" s="106">
        <v>13.06</v>
      </c>
      <c r="H64" s="102">
        <f t="shared" si="21"/>
        <v>-2.9399999999999995</v>
      </c>
      <c r="I64" s="213">
        <f t="shared" si="19"/>
        <v>0.81625</v>
      </c>
      <c r="J64" s="115">
        <f t="shared" si="23"/>
        <v>-30.939999999999998</v>
      </c>
      <c r="K64" s="155">
        <f t="shared" si="20"/>
        <v>0.2968181818181818</v>
      </c>
      <c r="L64" s="115"/>
      <c r="M64" s="115"/>
      <c r="N64" s="115"/>
      <c r="O64" s="115">
        <v>41.44</v>
      </c>
      <c r="P64" s="115">
        <f t="shared" si="24"/>
        <v>2.5600000000000023</v>
      </c>
      <c r="Q64" s="155">
        <f t="shared" si="25"/>
        <v>1.0617760617760619</v>
      </c>
      <c r="R64" s="115">
        <v>12.32</v>
      </c>
      <c r="S64" s="115">
        <f t="shared" si="5"/>
        <v>0.7400000000000002</v>
      </c>
      <c r="T64" s="155">
        <f t="shared" si="26"/>
        <v>1.0600649350649352</v>
      </c>
      <c r="U64" s="107">
        <f>F64-квітень!F64</f>
        <v>4</v>
      </c>
      <c r="V64" s="110">
        <f>G64-квітень!G64</f>
        <v>0</v>
      </c>
      <c r="W64" s="111">
        <f t="shared" si="22"/>
        <v>-4</v>
      </c>
      <c r="X64" s="155">
        <f t="shared" si="27"/>
        <v>0</v>
      </c>
      <c r="Y64" s="197">
        <f t="shared" si="15"/>
        <v>-0.0017111267111267203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2500</v>
      </c>
      <c r="G65" s="106">
        <v>2839.39</v>
      </c>
      <c r="H65" s="102">
        <f t="shared" si="21"/>
        <v>339.3899999999999</v>
      </c>
      <c r="I65" s="213">
        <f t="shared" si="19"/>
        <v>1.135756</v>
      </c>
      <c r="J65" s="115">
        <f t="shared" si="23"/>
        <v>-3160.61</v>
      </c>
      <c r="K65" s="155">
        <f t="shared" si="20"/>
        <v>0.47323166666666666</v>
      </c>
      <c r="L65" s="115"/>
      <c r="M65" s="115"/>
      <c r="N65" s="115"/>
      <c r="O65" s="115">
        <v>6545.96</v>
      </c>
      <c r="P65" s="115">
        <f t="shared" si="24"/>
        <v>-545.96</v>
      </c>
      <c r="Q65" s="155">
        <f t="shared" si="25"/>
        <v>0.9165958850955398</v>
      </c>
      <c r="R65" s="115">
        <v>2721.32</v>
      </c>
      <c r="S65" s="115">
        <f t="shared" si="5"/>
        <v>118.06999999999971</v>
      </c>
      <c r="T65" s="155">
        <f t="shared" si="26"/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 t="shared" si="22"/>
        <v>123.69999999999982</v>
      </c>
      <c r="X65" s="155">
        <f t="shared" si="27"/>
        <v>1.2838067269306652</v>
      </c>
      <c r="Y65" s="197">
        <f t="shared" si="15"/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344.14</v>
      </c>
      <c r="G66" s="106">
        <v>236.47</v>
      </c>
      <c r="H66" s="102">
        <f t="shared" si="21"/>
        <v>-107.66999999999999</v>
      </c>
      <c r="I66" s="213">
        <f t="shared" si="19"/>
        <v>0.6871331434881153</v>
      </c>
      <c r="J66" s="115">
        <f t="shared" si="23"/>
        <v>-629.53</v>
      </c>
      <c r="K66" s="155">
        <f t="shared" si="20"/>
        <v>0.27306004618937646</v>
      </c>
      <c r="L66" s="115"/>
      <c r="M66" s="115"/>
      <c r="N66" s="115"/>
      <c r="O66" s="115">
        <v>896.22</v>
      </c>
      <c r="P66" s="115">
        <f t="shared" si="24"/>
        <v>-30.220000000000027</v>
      </c>
      <c r="Q66" s="155">
        <f t="shared" si="25"/>
        <v>0.9662806007453527</v>
      </c>
      <c r="R66" s="115">
        <v>333.52</v>
      </c>
      <c r="S66" s="115">
        <f t="shared" si="5"/>
        <v>-97.04999999999998</v>
      </c>
      <c r="T66" s="155">
        <f t="shared" si="26"/>
        <v>0.709012952746462</v>
      </c>
      <c r="U66" s="107">
        <f>F66-квітень!F66</f>
        <v>74.5</v>
      </c>
      <c r="V66" s="110">
        <f>G66-квітень!G66</f>
        <v>4.219999999999999</v>
      </c>
      <c r="W66" s="111">
        <f t="shared" si="22"/>
        <v>-70.28</v>
      </c>
      <c r="X66" s="155">
        <f t="shared" si="27"/>
        <v>0.056644295302013405</v>
      </c>
      <c r="Y66" s="197">
        <f t="shared" si="15"/>
        <v>-0.2572676479988907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286.42</v>
      </c>
      <c r="G67" s="94">
        <v>187.19</v>
      </c>
      <c r="H67" s="71">
        <f t="shared" si="21"/>
        <v>-99.23000000000002</v>
      </c>
      <c r="I67" s="209">
        <f t="shared" si="19"/>
        <v>0.6535507296976467</v>
      </c>
      <c r="J67" s="72">
        <f t="shared" si="23"/>
        <v>-541.01</v>
      </c>
      <c r="K67" s="75">
        <f t="shared" si="20"/>
        <v>0.2570585004119747</v>
      </c>
      <c r="L67" s="72"/>
      <c r="M67" s="72"/>
      <c r="N67" s="72"/>
      <c r="O67" s="72">
        <v>760.62</v>
      </c>
      <c r="P67" s="72">
        <f t="shared" si="24"/>
        <v>-32.41999999999996</v>
      </c>
      <c r="Q67" s="75">
        <f t="shared" si="25"/>
        <v>0.957376876758434</v>
      </c>
      <c r="R67" s="72">
        <v>290.38</v>
      </c>
      <c r="S67" s="203">
        <f t="shared" si="5"/>
        <v>-103.19</v>
      </c>
      <c r="T67" s="204">
        <f t="shared" si="26"/>
        <v>0.6446380604724843</v>
      </c>
      <c r="U67" s="73">
        <f>F67-квітень!F67</f>
        <v>63.00000000000003</v>
      </c>
      <c r="V67" s="98">
        <f>G67-квітень!G67</f>
        <v>2.680000000000007</v>
      </c>
      <c r="W67" s="74">
        <f t="shared" si="22"/>
        <v>-60.32000000000002</v>
      </c>
      <c r="X67" s="75">
        <f t="shared" si="27"/>
        <v>0.04253968253968263</v>
      </c>
      <c r="Y67" s="197">
        <f t="shared" si="15"/>
        <v>-0.3127388162859497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0.3</v>
      </c>
      <c r="G68" s="94">
        <v>0.09</v>
      </c>
      <c r="H68" s="71">
        <f t="shared" si="21"/>
        <v>-0.21</v>
      </c>
      <c r="I68" s="209">
        <f t="shared" si="19"/>
        <v>0.3</v>
      </c>
      <c r="J68" s="72">
        <f t="shared" si="23"/>
        <v>-0.91</v>
      </c>
      <c r="K68" s="75">
        <f t="shared" si="20"/>
        <v>0.09</v>
      </c>
      <c r="L68" s="72"/>
      <c r="M68" s="72"/>
      <c r="N68" s="72"/>
      <c r="O68" s="72">
        <v>0.18</v>
      </c>
      <c r="P68" s="72">
        <f t="shared" si="24"/>
        <v>0.8200000000000001</v>
      </c>
      <c r="Q68" s="75">
        <f t="shared" si="25"/>
        <v>5.555555555555555</v>
      </c>
      <c r="R68" s="72">
        <v>0.15</v>
      </c>
      <c r="S68" s="203">
        <f t="shared" si="5"/>
        <v>-0.06</v>
      </c>
      <c r="T68" s="204">
        <f t="shared" si="26"/>
        <v>0.6</v>
      </c>
      <c r="U68" s="73">
        <f>F68-квітень!F68</f>
        <v>0.09999999999999998</v>
      </c>
      <c r="V68" s="98">
        <f>G68-квітень!G68</f>
        <v>0.03</v>
      </c>
      <c r="W68" s="74">
        <f t="shared" si="22"/>
        <v>-0.06999999999999998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1"/>
        <v>0</v>
      </c>
      <c r="I69" s="209" t="e">
        <f t="shared" si="19"/>
        <v>#DIV/0!</v>
      </c>
      <c r="J69" s="72">
        <f t="shared" si="23"/>
        <v>0</v>
      </c>
      <c r="K69" s="75" t="e">
        <f t="shared" si="20"/>
        <v>#DIV/0!</v>
      </c>
      <c r="L69" s="72"/>
      <c r="M69" s="72"/>
      <c r="N69" s="72"/>
      <c r="O69" s="72">
        <v>0</v>
      </c>
      <c r="P69" s="72">
        <f t="shared" si="24"/>
        <v>0</v>
      </c>
      <c r="Q69" s="75" t="e">
        <f t="shared" si="25"/>
        <v>#DIV/0!</v>
      </c>
      <c r="R69" s="72">
        <f>O69</f>
        <v>0</v>
      </c>
      <c r="S69" s="203">
        <f t="shared" si="5"/>
        <v>0</v>
      </c>
      <c r="T69" s="204" t="e">
        <f t="shared" si="26"/>
        <v>#DIV/0!</v>
      </c>
      <c r="U69" s="73">
        <f>F69-квітень!F69</f>
        <v>0</v>
      </c>
      <c r="V69" s="98">
        <f>G69-квітень!G69</f>
        <v>0</v>
      </c>
      <c r="W69" s="74">
        <f t="shared" si="22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57.42</v>
      </c>
      <c r="G70" s="94">
        <v>49.19</v>
      </c>
      <c r="H70" s="71">
        <f t="shared" si="21"/>
        <v>-8.230000000000004</v>
      </c>
      <c r="I70" s="209">
        <f t="shared" si="19"/>
        <v>0.856670149773598</v>
      </c>
      <c r="J70" s="72">
        <f t="shared" si="23"/>
        <v>-87.61000000000001</v>
      </c>
      <c r="K70" s="75">
        <f t="shared" si="20"/>
        <v>0.3595760233918128</v>
      </c>
      <c r="L70" s="72"/>
      <c r="M70" s="72"/>
      <c r="N70" s="72"/>
      <c r="O70" s="72">
        <v>135.42</v>
      </c>
      <c r="P70" s="72">
        <f t="shared" si="24"/>
        <v>1.3800000000000239</v>
      </c>
      <c r="Q70" s="75">
        <f t="shared" si="25"/>
        <v>1.01019051838724</v>
      </c>
      <c r="R70" s="72">
        <v>43</v>
      </c>
      <c r="S70" s="203">
        <f t="shared" si="5"/>
        <v>6.189999999999998</v>
      </c>
      <c r="T70" s="204">
        <f t="shared" si="26"/>
        <v>1.143953488372093</v>
      </c>
      <c r="U70" s="73">
        <f>F70-квітень!F70</f>
        <v>11.399999999999999</v>
      </c>
      <c r="V70" s="98">
        <f>G70-квітень!G70</f>
        <v>1.5</v>
      </c>
      <c r="W70" s="74">
        <f t="shared" si="22"/>
        <v>-9.899999999999999</v>
      </c>
      <c r="X70" s="75">
        <f t="shared" si="27"/>
        <v>0.13157894736842107</v>
      </c>
      <c r="Y70" s="197">
        <f t="shared" si="15"/>
        <v>0.13376296998485304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1"/>
        <v>-1.5</v>
      </c>
      <c r="I71" s="213">
        <f t="shared" si="19"/>
        <v>0</v>
      </c>
      <c r="J71" s="115">
        <f t="shared" si="23"/>
        <v>-3</v>
      </c>
      <c r="K71" s="155">
        <f t="shared" si="20"/>
        <v>0</v>
      </c>
      <c r="L71" s="115"/>
      <c r="M71" s="115"/>
      <c r="N71" s="115"/>
      <c r="O71" s="115">
        <v>2.04</v>
      </c>
      <c r="P71" s="115">
        <f t="shared" si="24"/>
        <v>0.96</v>
      </c>
      <c r="Q71" s="155">
        <f t="shared" si="25"/>
        <v>1.4705882352941175</v>
      </c>
      <c r="R71" s="115">
        <v>2.04</v>
      </c>
      <c r="S71" s="115">
        <f t="shared" si="5"/>
        <v>-2.04</v>
      </c>
      <c r="T71" s="155">
        <f t="shared" si="26"/>
        <v>0</v>
      </c>
      <c r="U71" s="107">
        <f>F71-квітень!F71</f>
        <v>0</v>
      </c>
      <c r="V71" s="110">
        <f>G71-квітень!G71</f>
        <v>0</v>
      </c>
      <c r="W71" s="111">
        <f t="shared" si="22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3288.65</v>
      </c>
      <c r="G72" s="106">
        <v>2066.18</v>
      </c>
      <c r="H72" s="102">
        <f t="shared" si="21"/>
        <v>-1222.4700000000003</v>
      </c>
      <c r="I72" s="213">
        <f t="shared" si="19"/>
        <v>0.6282760403204962</v>
      </c>
      <c r="J72" s="115">
        <f t="shared" si="23"/>
        <v>-6103.82</v>
      </c>
      <c r="K72" s="155">
        <f t="shared" si="20"/>
        <v>0.25289840881272946</v>
      </c>
      <c r="L72" s="115"/>
      <c r="M72" s="115"/>
      <c r="N72" s="115"/>
      <c r="O72" s="115">
        <v>8086.92</v>
      </c>
      <c r="P72" s="115">
        <f t="shared" si="24"/>
        <v>83.07999999999993</v>
      </c>
      <c r="Q72" s="155">
        <f t="shared" si="25"/>
        <v>1.0102733797292418</v>
      </c>
      <c r="R72" s="115">
        <v>4037.14</v>
      </c>
      <c r="S72" s="115">
        <f t="shared" si="5"/>
        <v>-1970.96</v>
      </c>
      <c r="T72" s="155">
        <f t="shared" si="26"/>
        <v>0.5117930019766468</v>
      </c>
      <c r="U72" s="107">
        <f>F72-квітень!F72</f>
        <v>680</v>
      </c>
      <c r="V72" s="110">
        <f>G72-квітень!G72</f>
        <v>32.149999999999864</v>
      </c>
      <c r="W72" s="111">
        <f t="shared" si="22"/>
        <v>-647.8500000000001</v>
      </c>
      <c r="X72" s="155">
        <f t="shared" si="27"/>
        <v>0.04727941176470568</v>
      </c>
      <c r="Y72" s="197">
        <f t="shared" si="15"/>
        <v>-0.498480377752595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1"/>
        <v>0</v>
      </c>
      <c r="I73" s="213" t="e">
        <f>G73/F73*100</f>
        <v>#DIV/0!</v>
      </c>
      <c r="J73" s="115">
        <f t="shared" si="23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6"/>
        <v>#DIV/0!</v>
      </c>
      <c r="U73" s="107">
        <f>F73-квітень!F73</f>
        <v>0</v>
      </c>
      <c r="V73" s="110">
        <f>G73-квітень!G73</f>
        <v>0</v>
      </c>
      <c r="W73" s="111">
        <f t="shared" si="22"/>
        <v>0</v>
      </c>
      <c r="X73" s="155" t="e">
        <f t="shared" si="27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6"/>
        <v>0</v>
      </c>
      <c r="U74" s="107">
        <f>F74-квітень!F74</f>
        <v>0</v>
      </c>
      <c r="V74" s="110">
        <f>G74-квітень!G74</f>
        <v>0</v>
      </c>
      <c r="W74" s="116">
        <f t="shared" si="22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1"/>
        <v>0</v>
      </c>
      <c r="I75" s="213" t="e">
        <f>G75/F75*100</f>
        <v>#DIV/0!</v>
      </c>
      <c r="J75" s="115">
        <f t="shared" si="23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6"/>
        <v>#DIV/0!</v>
      </c>
      <c r="U75" s="107">
        <f>F75-квітень!F75</f>
        <v>0</v>
      </c>
      <c r="V75" s="110">
        <f>G75-квітень!G75</f>
        <v>0</v>
      </c>
      <c r="W75" s="111">
        <f t="shared" si="22"/>
        <v>0</v>
      </c>
      <c r="X75" s="155" t="e">
        <f t="shared" si="27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1"/>
        <v>-20</v>
      </c>
      <c r="I76" s="213">
        <f>G76/F76</f>
        <v>0</v>
      </c>
      <c r="J76" s="115">
        <f t="shared" si="23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6"/>
        <v>0</v>
      </c>
      <c r="U76" s="107">
        <f>F76-квітень!F76</f>
        <v>0</v>
      </c>
      <c r="V76" s="110">
        <f>G76-квітень!G76</f>
        <v>0</v>
      </c>
      <c r="W76" s="111">
        <f t="shared" si="22"/>
        <v>0</v>
      </c>
      <c r="X76" s="155" t="e">
        <f t="shared" si="27"/>
        <v>#DIV/0!</v>
      </c>
      <c r="Y76" s="197">
        <f t="shared" si="15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15.37</v>
      </c>
      <c r="G77" s="106">
        <v>4.74</v>
      </c>
      <c r="H77" s="102">
        <f t="shared" si="21"/>
        <v>-10.629999999999999</v>
      </c>
      <c r="I77" s="213">
        <f>G77/F77</f>
        <v>0.3083929733246585</v>
      </c>
      <c r="J77" s="115">
        <f t="shared" si="23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22.35</v>
      </c>
      <c r="S77" s="115">
        <f t="shared" si="5"/>
        <v>-17.61</v>
      </c>
      <c r="T77" s="155">
        <f t="shared" si="26"/>
        <v>0.21208053691275167</v>
      </c>
      <c r="U77" s="107">
        <f>F77-квітень!F77</f>
        <v>2.8999999999999986</v>
      </c>
      <c r="V77" s="110">
        <f>G77-квітень!G77</f>
        <v>0</v>
      </c>
      <c r="W77" s="111">
        <f t="shared" si="22"/>
        <v>-2.8999999999999986</v>
      </c>
      <c r="X77" s="155">
        <f t="shared" si="27"/>
        <v>0</v>
      </c>
      <c r="Y77" s="197">
        <f t="shared" si="15"/>
        <v>-0.8107131509890602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0.5</v>
      </c>
      <c r="H78" s="102">
        <f t="shared" si="21"/>
        <v>0.5</v>
      </c>
      <c r="I78" s="213" t="e">
        <f>G78/F78</f>
        <v>#DIV/0!</v>
      </c>
      <c r="J78" s="115">
        <f t="shared" si="23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6"/>
        <v>-0.09523809523809523</v>
      </c>
      <c r="U78" s="107">
        <f>F78-квітень!F78</f>
        <v>0</v>
      </c>
      <c r="V78" s="110">
        <f>G78-квітень!G78</f>
        <v>0</v>
      </c>
      <c r="W78" s="111">
        <f t="shared" si="22"/>
        <v>0</v>
      </c>
      <c r="X78" s="155"/>
      <c r="Y78" s="197">
        <f t="shared" si="15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619358.02</v>
      </c>
      <c r="G79" s="103">
        <f>G8+G53+G77+G78</f>
        <v>523839.32999999996</v>
      </c>
      <c r="H79" s="103">
        <f>G79-F79</f>
        <v>-95518.69000000006</v>
      </c>
      <c r="I79" s="210">
        <f>G79/F79</f>
        <v>0.8457779072595201</v>
      </c>
      <c r="J79" s="104">
        <f>G79-E79</f>
        <v>-1104078.37</v>
      </c>
      <c r="K79" s="156">
        <f>G79/E79</f>
        <v>0.32178489735691185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532468.19</v>
      </c>
      <c r="S79" s="104">
        <f>G79-R79</f>
        <v>-8628.859999999986</v>
      </c>
      <c r="T79" s="156">
        <f>G79/R79</f>
        <v>0.9837946000116927</v>
      </c>
      <c r="U79" s="103">
        <f>U8+U53+U77+U78</f>
        <v>130131.65999999996</v>
      </c>
      <c r="V79" s="103">
        <f>V8+V53+V77+V78</f>
        <v>8995.919999999951</v>
      </c>
      <c r="W79" s="135">
        <f>V79-U79</f>
        <v>-121135.74</v>
      </c>
      <c r="X79" s="156">
        <f>V79/U79</f>
        <v>0.06912937251395973</v>
      </c>
      <c r="Y79" s="197">
        <f t="shared" si="15"/>
        <v>-0.1798378655057683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5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5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5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F84-квітень!F84</f>
        <v>0</v>
      </c>
      <c r="V84" s="110">
        <f>G84-квітень!G84</f>
        <v>0</v>
      </c>
      <c r="W84" s="117"/>
      <c r="X84" s="147"/>
      <c r="Y84" s="197" t="e">
        <f t="shared" si="15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F85-квітень!F85</f>
        <v>0</v>
      </c>
      <c r="V85" s="110">
        <f>G85-квітень!G85</f>
        <v>0</v>
      </c>
      <c r="W85" s="117">
        <f>V85-U85</f>
        <v>0</v>
      </c>
      <c r="X85" s="147"/>
      <c r="Y85" s="197" t="e">
        <f t="shared" si="15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8" ref="S86:S98">G86-R86</f>
        <v>0.01</v>
      </c>
      <c r="T86" s="151" t="e">
        <f aca="true" t="shared" si="29" ref="T86:T101">G86/R86</f>
        <v>#DIV/0!</v>
      </c>
      <c r="U86" s="129">
        <f>F86-квітень!F86</f>
        <v>0</v>
      </c>
      <c r="V86" s="174">
        <f>G86-квітень!G86</f>
        <v>0</v>
      </c>
      <c r="W86" s="131">
        <f>V86-U86</f>
        <v>0</v>
      </c>
      <c r="X86" s="151"/>
      <c r="Y86" s="197" t="e">
        <f t="shared" si="15"/>
        <v>#DIV/0!</v>
      </c>
    </row>
    <row r="87" spans="2:25" ht="45.75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9.43</v>
      </c>
      <c r="H87" s="129">
        <f aca="true" t="shared" si="30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1" ref="P87:P98">E87-O87</f>
        <v>-35.57</v>
      </c>
      <c r="Q87" s="151">
        <f aca="true" t="shared" si="32" ref="Q87:Q98">E87/O87</f>
        <v>0</v>
      </c>
      <c r="R87" s="131">
        <v>35.57</v>
      </c>
      <c r="S87" s="131">
        <f t="shared" si="28"/>
        <v>-26.14</v>
      </c>
      <c r="T87" s="147"/>
      <c r="U87" s="129">
        <f>F87-квітень!F87</f>
        <v>0</v>
      </c>
      <c r="V87" s="174">
        <f>G87-квітень!G87</f>
        <v>0</v>
      </c>
      <c r="W87" s="131">
        <f aca="true" t="shared" si="33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1000.03</v>
      </c>
      <c r="G88" s="126">
        <v>1570.86</v>
      </c>
      <c r="H88" s="112">
        <f t="shared" si="30"/>
        <v>570.8299999999999</v>
      </c>
      <c r="I88" s="213">
        <f>G88/F88</f>
        <v>1.5708128756137316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1"/>
        <v>7379.899</v>
      </c>
      <c r="Q88" s="147">
        <f t="shared" si="32"/>
        <v>8.866522054277613</v>
      </c>
      <c r="R88" s="117">
        <v>0.13</v>
      </c>
      <c r="S88" s="117">
        <f t="shared" si="28"/>
        <v>1570.7299999999998</v>
      </c>
      <c r="T88" s="147">
        <f t="shared" si="29"/>
        <v>12083.538461538461</v>
      </c>
      <c r="U88" s="112">
        <f>F88-квітень!F88</f>
        <v>193.601</v>
      </c>
      <c r="V88" s="118">
        <f>G88-квітень!G88</f>
        <v>0</v>
      </c>
      <c r="W88" s="117">
        <f t="shared" si="33"/>
        <v>-193.601</v>
      </c>
      <c r="X88" s="147">
        <f>V88/U88</f>
        <v>0</v>
      </c>
      <c r="Y88" s="197">
        <f t="shared" si="15"/>
        <v>12074.671939484184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4015</v>
      </c>
      <c r="G89" s="126">
        <v>1461.36</v>
      </c>
      <c r="H89" s="112">
        <f t="shared" si="30"/>
        <v>-2553.6400000000003</v>
      </c>
      <c r="I89" s="213">
        <f>G89/F89</f>
        <v>0.3639750933997509</v>
      </c>
      <c r="J89" s="117">
        <f aca="true" t="shared" si="34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1"/>
        <v>8305.35</v>
      </c>
      <c r="Q89" s="147">
        <f t="shared" si="32"/>
        <v>2.0198559613932328</v>
      </c>
      <c r="R89" s="117">
        <v>304.9</v>
      </c>
      <c r="S89" s="117">
        <f t="shared" si="28"/>
        <v>1156.46</v>
      </c>
      <c r="T89" s="147">
        <f t="shared" si="29"/>
        <v>4.7929157100688755</v>
      </c>
      <c r="U89" s="112">
        <f>F89-квітень!F89</f>
        <v>1000</v>
      </c>
      <c r="V89" s="118">
        <f>G89-квітень!G89</f>
        <v>0</v>
      </c>
      <c r="W89" s="117">
        <f t="shared" si="33"/>
        <v>-1000</v>
      </c>
      <c r="X89" s="147">
        <f>V89/U89</f>
        <v>0</v>
      </c>
      <c r="Y89" s="197">
        <f t="shared" si="15"/>
        <v>2.7730597486756428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10000</v>
      </c>
      <c r="G90" s="126">
        <v>1759.37</v>
      </c>
      <c r="H90" s="112">
        <f t="shared" si="30"/>
        <v>-8240.630000000001</v>
      </c>
      <c r="I90" s="213">
        <f>G90/F90</f>
        <v>0.17593699999999998</v>
      </c>
      <c r="J90" s="117">
        <f t="shared" si="34"/>
        <v>-20255.63</v>
      </c>
      <c r="K90" s="147">
        <f>G90/E90</f>
        <v>0.07991687485805132</v>
      </c>
      <c r="L90" s="117"/>
      <c r="M90" s="117"/>
      <c r="N90" s="117"/>
      <c r="O90" s="117">
        <v>17305.88</v>
      </c>
      <c r="P90" s="117">
        <f t="shared" si="31"/>
        <v>4709.119999999999</v>
      </c>
      <c r="Q90" s="147">
        <f t="shared" si="32"/>
        <v>1.2721109819321526</v>
      </c>
      <c r="R90" s="117">
        <v>4585.42</v>
      </c>
      <c r="S90" s="117">
        <f t="shared" si="28"/>
        <v>-2826.05</v>
      </c>
      <c r="T90" s="147">
        <f t="shared" si="29"/>
        <v>0.38368786283481116</v>
      </c>
      <c r="U90" s="112">
        <f>F90-квітень!F90</f>
        <v>2000</v>
      </c>
      <c r="V90" s="118">
        <f>G90-квітень!G90</f>
        <v>11</v>
      </c>
      <c r="W90" s="117">
        <f t="shared" si="33"/>
        <v>-1989</v>
      </c>
      <c r="X90" s="147">
        <f>V90/U90</f>
        <v>0.0055</v>
      </c>
      <c r="Y90" s="197">
        <f t="shared" si="15"/>
        <v>-0.8884231190973414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10</v>
      </c>
      <c r="G91" s="126">
        <v>4</v>
      </c>
      <c r="H91" s="112">
        <f t="shared" si="30"/>
        <v>-6</v>
      </c>
      <c r="I91" s="213">
        <f>G91/F91</f>
        <v>0.4</v>
      </c>
      <c r="J91" s="117">
        <f t="shared" si="34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1"/>
        <v>4</v>
      </c>
      <c r="Q91" s="147">
        <f t="shared" si="32"/>
        <v>1.2</v>
      </c>
      <c r="R91" s="117">
        <v>6</v>
      </c>
      <c r="S91" s="117">
        <f t="shared" si="28"/>
        <v>-2</v>
      </c>
      <c r="T91" s="147">
        <f t="shared" si="29"/>
        <v>0.6666666666666666</v>
      </c>
      <c r="U91" s="112">
        <f>F91-квітень!F91</f>
        <v>2</v>
      </c>
      <c r="V91" s="118">
        <f>G91-квітень!G91</f>
        <v>0</v>
      </c>
      <c r="W91" s="117">
        <f t="shared" si="33"/>
        <v>-2</v>
      </c>
      <c r="X91" s="147">
        <f>V91/U91</f>
        <v>0</v>
      </c>
      <c r="Y91" s="197">
        <f t="shared" si="15"/>
        <v>-0.5333333333333333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15025.029999999999</v>
      </c>
      <c r="G92" s="128">
        <f>G88+G89+G90+G91</f>
        <v>4795.59</v>
      </c>
      <c r="H92" s="129">
        <f t="shared" si="30"/>
        <v>-10229.439999999999</v>
      </c>
      <c r="I92" s="216">
        <f>G92/F92</f>
        <v>0.31917340597656046</v>
      </c>
      <c r="J92" s="131">
        <f t="shared" si="34"/>
        <v>-42010.44900000001</v>
      </c>
      <c r="K92" s="151">
        <f>G92/E92</f>
        <v>0.1024566509462593</v>
      </c>
      <c r="L92" s="131"/>
      <c r="M92" s="131"/>
      <c r="N92" s="131"/>
      <c r="O92" s="131">
        <v>26407.66</v>
      </c>
      <c r="P92" s="131">
        <f t="shared" si="31"/>
        <v>20398.379000000004</v>
      </c>
      <c r="Q92" s="151">
        <f t="shared" si="32"/>
        <v>1.772441746069133</v>
      </c>
      <c r="R92" s="131">
        <v>4896.44</v>
      </c>
      <c r="S92" s="117">
        <f t="shared" si="28"/>
        <v>-100.84999999999945</v>
      </c>
      <c r="T92" s="147">
        <f t="shared" si="29"/>
        <v>0.9794034032889202</v>
      </c>
      <c r="U92" s="129">
        <f>F92-квітень!F92</f>
        <v>3195.6009999999987</v>
      </c>
      <c r="V92" s="174">
        <f>G92-квітень!G92</f>
        <v>11</v>
      </c>
      <c r="W92" s="131">
        <f t="shared" si="33"/>
        <v>-3184.6009999999987</v>
      </c>
      <c r="X92" s="151">
        <f>V92/U92</f>
        <v>0.003442231993293282</v>
      </c>
      <c r="Y92" s="197">
        <f t="shared" si="15"/>
        <v>-0.7930383427802129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15</v>
      </c>
      <c r="G93" s="126">
        <v>1.3</v>
      </c>
      <c r="H93" s="112">
        <f t="shared" si="30"/>
        <v>-13.7</v>
      </c>
      <c r="I93" s="213"/>
      <c r="J93" s="117">
        <f t="shared" si="34"/>
        <v>-41.7</v>
      </c>
      <c r="K93" s="147"/>
      <c r="L93" s="117"/>
      <c r="M93" s="117"/>
      <c r="N93" s="117"/>
      <c r="O93" s="117">
        <v>49.17</v>
      </c>
      <c r="P93" s="117">
        <f t="shared" si="31"/>
        <v>-6.170000000000002</v>
      </c>
      <c r="Q93" s="147">
        <f t="shared" si="32"/>
        <v>0.8745169818995322</v>
      </c>
      <c r="R93" s="117">
        <v>34.1</v>
      </c>
      <c r="S93" s="117">
        <f t="shared" si="28"/>
        <v>-32.800000000000004</v>
      </c>
      <c r="T93" s="147">
        <f t="shared" si="29"/>
        <v>0.03812316715542522</v>
      </c>
      <c r="U93" s="112">
        <f>F93-квітень!F93</f>
        <v>4</v>
      </c>
      <c r="V93" s="118">
        <f>G93-квітень!G93</f>
        <v>0</v>
      </c>
      <c r="W93" s="117">
        <f t="shared" si="33"/>
        <v>-4</v>
      </c>
      <c r="X93" s="147"/>
      <c r="Y93" s="197">
        <f t="shared" si="15"/>
        <v>-0.836393814744107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0"/>
        <v>0</v>
      </c>
      <c r="I94" s="213"/>
      <c r="J94" s="117">
        <f t="shared" si="34"/>
        <v>0</v>
      </c>
      <c r="K94" s="224"/>
      <c r="L94" s="134"/>
      <c r="M94" s="134"/>
      <c r="N94" s="134"/>
      <c r="O94" s="134"/>
      <c r="P94" s="117">
        <f t="shared" si="31"/>
        <v>0</v>
      </c>
      <c r="Q94" s="147" t="e">
        <f t="shared" si="32"/>
        <v>#DIV/0!</v>
      </c>
      <c r="R94" s="117">
        <f>O94</f>
        <v>0</v>
      </c>
      <c r="S94" s="117">
        <f t="shared" si="28"/>
        <v>0</v>
      </c>
      <c r="T94" s="147" t="e">
        <f t="shared" si="29"/>
        <v>#DIV/0!</v>
      </c>
      <c r="U94" s="112">
        <f>F94-квітень!F94</f>
        <v>0</v>
      </c>
      <c r="V94" s="118">
        <f>G94-квітень!G94</f>
        <v>0</v>
      </c>
      <c r="W94" s="117">
        <f t="shared" si="33"/>
        <v>0</v>
      </c>
      <c r="X94" s="224"/>
      <c r="Y94" s="197" t="e">
        <f t="shared" si="15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5901.95</v>
      </c>
      <c r="G95" s="126">
        <v>2604.29</v>
      </c>
      <c r="H95" s="112">
        <f t="shared" si="30"/>
        <v>-3297.66</v>
      </c>
      <c r="I95" s="213">
        <f>G95/F95</f>
        <v>0.44125924482586265</v>
      </c>
      <c r="J95" s="117">
        <f t="shared" si="34"/>
        <v>-6445.71</v>
      </c>
      <c r="K95" s="147">
        <f>G95/E95</f>
        <v>0.28776685082872927</v>
      </c>
      <c r="L95" s="117"/>
      <c r="M95" s="117"/>
      <c r="N95" s="117"/>
      <c r="O95" s="117">
        <v>8033.94</v>
      </c>
      <c r="P95" s="117">
        <f t="shared" si="31"/>
        <v>1016.0600000000004</v>
      </c>
      <c r="Q95" s="147">
        <f t="shared" si="32"/>
        <v>1.1264709470073215</v>
      </c>
      <c r="R95" s="117">
        <v>5103.22</v>
      </c>
      <c r="S95" s="117">
        <f t="shared" si="28"/>
        <v>-2498.9300000000003</v>
      </c>
      <c r="T95" s="147">
        <f t="shared" si="29"/>
        <v>0.5103228941726988</v>
      </c>
      <c r="U95" s="112">
        <f>F95-квітень!F95</f>
        <v>3068.5</v>
      </c>
      <c r="V95" s="118">
        <f>G95-квітень!G95</f>
        <v>0.5900000000001455</v>
      </c>
      <c r="W95" s="117">
        <f t="shared" si="33"/>
        <v>-3067.91</v>
      </c>
      <c r="X95" s="147">
        <f>V95/U95</f>
        <v>0.00019227635652603733</v>
      </c>
      <c r="Y95" s="197">
        <f t="shared" si="15"/>
        <v>-0.6161480528346227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0"/>
        <v>0</v>
      </c>
      <c r="I96" s="213"/>
      <c r="J96" s="117">
        <f t="shared" si="34"/>
        <v>0</v>
      </c>
      <c r="K96" s="147"/>
      <c r="L96" s="117"/>
      <c r="M96" s="117"/>
      <c r="N96" s="117"/>
      <c r="O96" s="117">
        <v>0.1</v>
      </c>
      <c r="P96" s="117">
        <f t="shared" si="31"/>
        <v>-0.1</v>
      </c>
      <c r="Q96" s="147">
        <f t="shared" si="32"/>
        <v>0</v>
      </c>
      <c r="R96" s="117">
        <v>0</v>
      </c>
      <c r="S96" s="117">
        <f t="shared" si="28"/>
        <v>0</v>
      </c>
      <c r="T96" s="147" t="e">
        <f t="shared" si="29"/>
        <v>#DIV/0!</v>
      </c>
      <c r="U96" s="112">
        <f>F96-січень!F96</f>
        <v>0</v>
      </c>
      <c r="V96" s="118">
        <f>G96-березень!G96</f>
        <v>0</v>
      </c>
      <c r="W96" s="117">
        <f t="shared" si="33"/>
        <v>0</v>
      </c>
      <c r="X96" s="224"/>
      <c r="Y96" s="197" t="e">
        <f t="shared" si="15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5916.95</v>
      </c>
      <c r="G97" s="128">
        <f>G93+G96+G94+G95</f>
        <v>2605.59</v>
      </c>
      <c r="H97" s="129">
        <f t="shared" si="30"/>
        <v>-3311.3599999999997</v>
      </c>
      <c r="I97" s="216">
        <f>G97/F97</f>
        <v>0.44036032077337145</v>
      </c>
      <c r="J97" s="131">
        <f t="shared" si="34"/>
        <v>-6487.41</v>
      </c>
      <c r="K97" s="151">
        <f>G97/E97</f>
        <v>0.28654899373144177</v>
      </c>
      <c r="L97" s="131"/>
      <c r="M97" s="131"/>
      <c r="N97" s="131"/>
      <c r="O97" s="131">
        <v>8083.21</v>
      </c>
      <c r="P97" s="131">
        <f t="shared" si="31"/>
        <v>1009.79</v>
      </c>
      <c r="Q97" s="151">
        <f t="shared" si="32"/>
        <v>1.1249243802895137</v>
      </c>
      <c r="R97" s="131">
        <v>5137.37</v>
      </c>
      <c r="S97" s="117">
        <f t="shared" si="28"/>
        <v>-2531.7799999999997</v>
      </c>
      <c r="T97" s="147">
        <f t="shared" si="29"/>
        <v>0.507183636763558</v>
      </c>
      <c r="U97" s="129">
        <f>F97-квітень!F97</f>
        <v>3072.5</v>
      </c>
      <c r="V97" s="174">
        <f>G97-квітень!G97</f>
        <v>0.5900000000001455</v>
      </c>
      <c r="W97" s="131">
        <f t="shared" si="33"/>
        <v>-3071.91</v>
      </c>
      <c r="X97" s="151">
        <f>V97/U97</f>
        <v>0.00019202603742885126</v>
      </c>
      <c r="Y97" s="197">
        <f t="shared" si="15"/>
        <v>-0.6177407435259556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15.75</v>
      </c>
      <c r="G98" s="126">
        <v>15.98</v>
      </c>
      <c r="H98" s="112">
        <f t="shared" si="30"/>
        <v>0.23000000000000043</v>
      </c>
      <c r="I98" s="213">
        <f>G98/F98</f>
        <v>1.0146031746031747</v>
      </c>
      <c r="J98" s="117">
        <f t="shared" si="34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1"/>
        <v>9.452999999999996</v>
      </c>
      <c r="Q98" s="147">
        <f t="shared" si="32"/>
        <v>1.2490252897787144</v>
      </c>
      <c r="R98" s="131">
        <v>7.74</v>
      </c>
      <c r="S98" s="117">
        <f t="shared" si="28"/>
        <v>8.24</v>
      </c>
      <c r="T98" s="147">
        <f t="shared" si="29"/>
        <v>2.0645994832041343</v>
      </c>
      <c r="U98" s="112">
        <f>F98-квітень!F98</f>
        <v>1.7599999999999998</v>
      </c>
      <c r="V98" s="118">
        <f>G98-квітень!G98</f>
        <v>0</v>
      </c>
      <c r="W98" s="117">
        <f t="shared" si="33"/>
        <v>-1.7599999999999998</v>
      </c>
      <c r="X98" s="147">
        <f>V98/U98</f>
        <v>0</v>
      </c>
      <c r="Y98" s="197">
        <f t="shared" si="15"/>
        <v>0.8155741934254199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2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5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20957.73</v>
      </c>
      <c r="G100" s="183">
        <f>G86+G87+G92+G97+G98</f>
        <v>7426.599999999999</v>
      </c>
      <c r="H100" s="184">
        <f>G100-F100</f>
        <v>-13531.130000000001</v>
      </c>
      <c r="I100" s="217">
        <f>G100/F100</f>
        <v>0.3543608969101138</v>
      </c>
      <c r="J100" s="177">
        <f>G100-E100</f>
        <v>-48519.852000000006</v>
      </c>
      <c r="K100" s="178">
        <f>G100/E100</f>
        <v>0.1327447896070335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10074.49</v>
      </c>
      <c r="S100" s="177">
        <f>G100-R100</f>
        <v>-2647.8900000000003</v>
      </c>
      <c r="T100" s="178">
        <f t="shared" si="29"/>
        <v>0.7371688293898748</v>
      </c>
      <c r="U100" s="183">
        <f>U86+U87+U92+U97+U98</f>
        <v>6269.860999999999</v>
      </c>
      <c r="V100" s="183">
        <f>V86+V87+V92+V97+V98</f>
        <v>11.590000000000146</v>
      </c>
      <c r="W100" s="177">
        <f>V100-U100</f>
        <v>-6258.270999999999</v>
      </c>
      <c r="X100" s="178">
        <f>V100/U100</f>
        <v>0.001848525828563049</v>
      </c>
      <c r="Y100" s="197">
        <f>T100-Q100</f>
        <v>-0.8815692155655777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640315.75</v>
      </c>
      <c r="G101" s="183">
        <f>G79+G100</f>
        <v>531265.9299999999</v>
      </c>
      <c r="H101" s="184">
        <f>G101-F101</f>
        <v>-109049.82000000007</v>
      </c>
      <c r="I101" s="217">
        <f>G101/F101</f>
        <v>0.8296936784703484</v>
      </c>
      <c r="J101" s="177">
        <f>G101-E101</f>
        <v>-1152598.222</v>
      </c>
      <c r="K101" s="178">
        <f>G101/E101</f>
        <v>0.315504032417931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542542.6799999999</v>
      </c>
      <c r="S101" s="177">
        <f>S79+S100</f>
        <v>-11276.749999999985</v>
      </c>
      <c r="T101" s="178">
        <f t="shared" si="29"/>
        <v>0.9792149992697349</v>
      </c>
      <c r="U101" s="184">
        <f>U79+U100</f>
        <v>136401.52099999995</v>
      </c>
      <c r="V101" s="184">
        <f>V79+V100</f>
        <v>9007.509999999951</v>
      </c>
      <c r="W101" s="177">
        <f>V101-U101</f>
        <v>-127394.011</v>
      </c>
      <c r="X101" s="178">
        <f>V101/U101</f>
        <v>0.06603672696582287</v>
      </c>
      <c r="Y101" s="197">
        <f>T101-Q101</f>
        <v>-0.19538964305442097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19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5027.299473684214</v>
      </c>
      <c r="H104" s="262"/>
      <c r="I104" s="262"/>
      <c r="J104" s="262"/>
      <c r="V104" s="261">
        <f>IF(W79&lt;0,ABS(W79/C103),0)</f>
        <v>6375.565263157895</v>
      </c>
    </row>
    <row r="105" spans="2:7" ht="30.75">
      <c r="B105" s="263" t="s">
        <v>146</v>
      </c>
      <c r="C105" s="264">
        <v>43223</v>
      </c>
      <c r="D105" s="261"/>
      <c r="E105" s="261">
        <v>3369.1</v>
      </c>
      <c r="F105" s="78"/>
      <c r="G105" s="4" t="s">
        <v>147</v>
      </c>
    </row>
    <row r="106" spans="3:10" ht="15">
      <c r="C106" s="264">
        <v>43222</v>
      </c>
      <c r="D106" s="261"/>
      <c r="E106" s="261">
        <v>5326.8</v>
      </c>
      <c r="F106" s="78"/>
      <c r="G106" s="279"/>
      <c r="H106" s="279"/>
      <c r="I106" s="265"/>
      <c r="J106" s="266"/>
    </row>
    <row r="107" spans="3:10" ht="15">
      <c r="C107" s="264">
        <v>43217</v>
      </c>
      <c r="D107" s="261"/>
      <c r="E107" s="261">
        <v>15675.4</v>
      </c>
      <c r="F107" s="78"/>
      <c r="G107" s="279"/>
      <c r="H107" s="279"/>
      <c r="I107" s="265"/>
      <c r="J107" s="267"/>
    </row>
    <row r="108" spans="3:10" ht="15">
      <c r="C108" s="264"/>
      <c r="D108" s="4"/>
      <c r="F108" s="268"/>
      <c r="G108" s="280"/>
      <c r="H108" s="280"/>
      <c r="I108" s="269"/>
      <c r="J108" s="266"/>
    </row>
    <row r="109" spans="2:10" ht="16.5">
      <c r="B109" s="281" t="s">
        <v>148</v>
      </c>
      <c r="C109" s="282"/>
      <c r="D109" s="270"/>
      <c r="E109" s="274">
        <v>29.375259999999997</v>
      </c>
      <c r="F109" s="272" t="s">
        <v>149</v>
      </c>
      <c r="G109" s="279"/>
      <c r="H109" s="279"/>
      <c r="I109" s="273"/>
      <c r="J109" s="266"/>
    </row>
    <row r="110" spans="4:10" ht="15">
      <c r="D110" s="4"/>
      <c r="F110" s="268"/>
      <c r="G110" s="279"/>
      <c r="H110" s="279"/>
      <c r="I110" s="268"/>
      <c r="J110" s="271"/>
    </row>
  </sheetData>
  <sheetProtection/>
  <mergeCells count="28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2" fitToWidth="1" orientation="portrait" paperSize="9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0"/>
  <sheetViews>
    <sheetView zoomScale="72" zoomScaleNormal="72" zoomScalePageLayoutView="0" workbookViewId="0" topLeftCell="B1">
      <pane xSplit="3" ySplit="8" topLeftCell="E10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16" sqref="E11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01" t="s">
        <v>179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186"/>
    </row>
    <row r="2" spans="2:25" s="1" customFormat="1" ht="15.75" customHeight="1">
      <c r="B2" s="302"/>
      <c r="C2" s="302"/>
      <c r="D2" s="302"/>
      <c r="E2" s="302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3"/>
      <c r="B3" s="305"/>
      <c r="C3" s="306" t="s">
        <v>0</v>
      </c>
      <c r="D3" s="307" t="s">
        <v>131</v>
      </c>
      <c r="E3" s="307" t="s">
        <v>162</v>
      </c>
      <c r="F3" s="25"/>
      <c r="G3" s="308" t="s">
        <v>26</v>
      </c>
      <c r="H3" s="309"/>
      <c r="I3" s="309"/>
      <c r="J3" s="309"/>
      <c r="K3" s="31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1" t="s">
        <v>168</v>
      </c>
      <c r="V3" s="312" t="s">
        <v>169</v>
      </c>
      <c r="W3" s="312"/>
      <c r="X3" s="312"/>
      <c r="Y3" s="194"/>
    </row>
    <row r="4" spans="1:24" ht="22.5" customHeight="1">
      <c r="A4" s="303"/>
      <c r="B4" s="305"/>
      <c r="C4" s="306"/>
      <c r="D4" s="307"/>
      <c r="E4" s="307"/>
      <c r="F4" s="295" t="s">
        <v>165</v>
      </c>
      <c r="G4" s="297" t="s">
        <v>31</v>
      </c>
      <c r="H4" s="285" t="s">
        <v>166</v>
      </c>
      <c r="I4" s="299" t="s">
        <v>167</v>
      </c>
      <c r="J4" s="285" t="s">
        <v>132</v>
      </c>
      <c r="K4" s="29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9"/>
      <c r="V4" s="283" t="s">
        <v>172</v>
      </c>
      <c r="W4" s="285" t="s">
        <v>44</v>
      </c>
      <c r="X4" s="287" t="s">
        <v>43</v>
      </c>
    </row>
    <row r="5" spans="1:24" ht="67.5" customHeight="1">
      <c r="A5" s="304"/>
      <c r="B5" s="305"/>
      <c r="C5" s="306"/>
      <c r="D5" s="307"/>
      <c r="E5" s="307"/>
      <c r="F5" s="296"/>
      <c r="G5" s="298"/>
      <c r="H5" s="286"/>
      <c r="I5" s="300"/>
      <c r="J5" s="286"/>
      <c r="K5" s="300"/>
      <c r="L5" s="288" t="s">
        <v>135</v>
      </c>
      <c r="M5" s="289"/>
      <c r="N5" s="290"/>
      <c r="O5" s="291" t="s">
        <v>153</v>
      </c>
      <c r="P5" s="292"/>
      <c r="Q5" s="293"/>
      <c r="R5" s="294" t="s">
        <v>170</v>
      </c>
      <c r="S5" s="294"/>
      <c r="T5" s="294"/>
      <c r="U5" s="300"/>
      <c r="V5" s="284"/>
      <c r="W5" s="286"/>
      <c r="X5" s="28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 aca="true" t="shared" si="0" ref="I8:I15">G8/F8</f>
        <v>1.050290366939418</v>
      </c>
      <c r="J8" s="104">
        <f aca="true" t="shared" si="1" ref="J8:J52">G8-E8</f>
        <v>-1081931.42</v>
      </c>
      <c r="K8" s="156">
        <f aca="true" t="shared" si="2" ref="K8:K14">G8/E8</f>
        <v>0.3155078551401343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98390.12</v>
      </c>
      <c r="T8" s="143">
        <f aca="true" t="shared" si="6" ref="T8:T22">G8/R8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 aca="true" t="shared" si="7" ref="X8:X15">V8/U8</f>
        <v>1.161580280776019</v>
      </c>
      <c r="Y8" s="199">
        <f aca="true" t="shared" si="8" ref="Y8:Y22">T8-Q8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 t="shared" si="0"/>
        <v>1.1023565982393424</v>
      </c>
      <c r="J9" s="108">
        <f t="shared" si="1"/>
        <v>-657848.9299999999</v>
      </c>
      <c r="K9" s="148">
        <f t="shared" si="2"/>
        <v>0.312019592074068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75257.97</v>
      </c>
      <c r="T9" s="144">
        <f t="shared" si="6"/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 t="shared" si="7"/>
        <v>1.2945862439616393</v>
      </c>
      <c r="Y9" s="200">
        <f t="shared" si="8"/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 aca="true" t="shared" si="9" ref="H10:H47">G10-F10</f>
        <v>23487.25</v>
      </c>
      <c r="I10" s="209">
        <f t="shared" si="0"/>
        <v>1.0942832529884947</v>
      </c>
      <c r="J10" s="72">
        <f t="shared" si="1"/>
        <v>-609202.05</v>
      </c>
      <c r="K10" s="75">
        <f t="shared" si="2"/>
        <v>0.30914042025259614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68235.09000000003</v>
      </c>
      <c r="T10" s="145">
        <f t="shared" si="6"/>
        <v>1.3338869319953932</v>
      </c>
      <c r="U10" s="73">
        <f>F10-березень!F10</f>
        <v>56235</v>
      </c>
      <c r="V10" s="98">
        <f>G10-березень!G10</f>
        <v>72766.06</v>
      </c>
      <c r="W10" s="74">
        <f aca="true" t="shared" si="10" ref="W10:W52">V10-U10</f>
        <v>16531.059999999998</v>
      </c>
      <c r="X10" s="75">
        <f t="shared" si="7"/>
        <v>1.2939639014848403</v>
      </c>
      <c r="Y10" s="198">
        <f t="shared" si="8"/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16479.14</v>
      </c>
      <c r="H11" s="71">
        <f t="shared" si="9"/>
        <v>1944.4399999999987</v>
      </c>
      <c r="I11" s="209">
        <f t="shared" si="0"/>
        <v>1.1337791629686198</v>
      </c>
      <c r="J11" s="72">
        <f t="shared" si="1"/>
        <v>-33420.86</v>
      </c>
      <c r="K11" s="75">
        <f t="shared" si="2"/>
        <v>0.3302432865731463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4049.99</v>
      </c>
      <c r="T11" s="145">
        <f t="shared" si="6"/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 t="shared" si="10"/>
        <v>675.9499999999989</v>
      </c>
      <c r="X11" s="75">
        <f t="shared" si="7"/>
        <v>1.178822751322751</v>
      </c>
      <c r="Y11" s="198">
        <f t="shared" si="8"/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3989.53</v>
      </c>
      <c r="H12" s="71">
        <f t="shared" si="9"/>
        <v>845.1200000000003</v>
      </c>
      <c r="I12" s="209">
        <f t="shared" si="0"/>
        <v>1.2687690218514762</v>
      </c>
      <c r="J12" s="72">
        <f t="shared" si="1"/>
        <v>-8010.469999999999</v>
      </c>
      <c r="K12" s="75">
        <f t="shared" si="2"/>
        <v>0.33246083333333337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1379.94</v>
      </c>
      <c r="T12" s="145">
        <f t="shared" si="6"/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 t="shared" si="10"/>
        <v>-139.62099999999964</v>
      </c>
      <c r="X12" s="75">
        <f t="shared" si="7"/>
        <v>0.8357401932468318</v>
      </c>
      <c r="Y12" s="198">
        <f t="shared" si="8"/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4976.84</v>
      </c>
      <c r="H13" s="71">
        <f t="shared" si="9"/>
        <v>1363.1400000000003</v>
      </c>
      <c r="I13" s="209">
        <f t="shared" si="0"/>
        <v>1.377214489304591</v>
      </c>
      <c r="J13" s="72">
        <f t="shared" si="1"/>
        <v>-7023.16</v>
      </c>
      <c r="K13" s="75">
        <f t="shared" si="2"/>
        <v>0.4147366666666667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1767.5100000000002</v>
      </c>
      <c r="T13" s="145">
        <f t="shared" si="6"/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 t="shared" si="10"/>
        <v>1069.3600000000006</v>
      </c>
      <c r="X13" s="75">
        <f t="shared" si="7"/>
        <v>2.9205459770114963</v>
      </c>
      <c r="Y13" s="198">
        <f t="shared" si="8"/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337.68</v>
      </c>
      <c r="H15" s="102">
        <f t="shared" si="9"/>
        <v>272.68</v>
      </c>
      <c r="I15" s="208">
        <f t="shared" si="0"/>
        <v>5.195076923076924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654.04</v>
      </c>
      <c r="T15" s="146">
        <f t="shared" si="6"/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 t="shared" si="10"/>
        <v>-4.939999999999998</v>
      </c>
      <c r="X15" s="148">
        <f t="shared" si="7"/>
        <v>0.012000000000000455</v>
      </c>
      <c r="Y15" s="197">
        <f t="shared" si="8"/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 t="shared" si="9"/>
        <v>-7914.779999999999</v>
      </c>
      <c r="I19" s="208">
        <f t="shared" si="12"/>
        <v>0.8240769059791065</v>
      </c>
      <c r="J19" s="108">
        <f t="shared" si="1"/>
        <v>-114652.78</v>
      </c>
      <c r="K19" s="108">
        <f t="shared" si="11"/>
        <v>24.4353184646209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970.4599999999991</v>
      </c>
      <c r="T19" s="146">
        <f t="shared" si="6"/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 t="shared" si="10"/>
        <v>-1905.3600000000006</v>
      </c>
      <c r="X19" s="148">
        <f t="shared" si="13"/>
        <v>0.8324958241758241</v>
      </c>
      <c r="Y19" s="197">
        <f t="shared" si="8"/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16783.77</v>
      </c>
      <c r="H20" s="170">
        <f t="shared" si="9"/>
        <v>-906.2299999999996</v>
      </c>
      <c r="I20" s="211">
        <f t="shared" si="12"/>
        <v>0.9487716223855286</v>
      </c>
      <c r="J20" s="171">
        <f t="shared" si="1"/>
        <v>-49924.229999999996</v>
      </c>
      <c r="K20" s="171">
        <f t="shared" si="11"/>
        <v>25.160055765425437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-5195.810000000001</v>
      </c>
      <c r="T20" s="172">
        <f t="shared" si="6"/>
        <v>0.7636074028712104</v>
      </c>
      <c r="U20" s="136">
        <f>F20-березень!F20</f>
        <v>4475</v>
      </c>
      <c r="V20" s="124">
        <f>G20-березень!G20</f>
        <v>4145.4</v>
      </c>
      <c r="W20" s="116">
        <f t="shared" si="10"/>
        <v>-329.60000000000036</v>
      </c>
      <c r="X20" s="180">
        <f t="shared" si="13"/>
        <v>0.9263463687150837</v>
      </c>
      <c r="Y20" s="197">
        <f t="shared" si="8"/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4667.89</v>
      </c>
      <c r="H21" s="170">
        <f t="shared" si="9"/>
        <v>-532.1099999999997</v>
      </c>
      <c r="I21" s="211">
        <f t="shared" si="12"/>
        <v>0.8976711538461539</v>
      </c>
      <c r="J21" s="171">
        <f t="shared" si="1"/>
        <v>-11028.11</v>
      </c>
      <c r="K21" s="171">
        <f t="shared" si="11"/>
        <v>29.73936034658512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1548.9500000000003</v>
      </c>
      <c r="T21" s="172">
        <f t="shared" si="6"/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 t="shared" si="10"/>
        <v>-144.9699999999998</v>
      </c>
      <c r="X21" s="180">
        <f t="shared" si="13"/>
        <v>0.8884846153846155</v>
      </c>
      <c r="Y21" s="197">
        <f t="shared" si="8"/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15623.55</v>
      </c>
      <c r="H22" s="170">
        <f t="shared" si="9"/>
        <v>-6476.450000000001</v>
      </c>
      <c r="I22" s="211">
        <f t="shared" si="12"/>
        <v>0.706947963800905</v>
      </c>
      <c r="J22" s="171">
        <f t="shared" si="1"/>
        <v>-53700.45</v>
      </c>
      <c r="K22" s="171">
        <f t="shared" si="11"/>
        <v>22.537000173100225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4617.3099999999995</v>
      </c>
      <c r="T22" s="172">
        <f t="shared" si="6"/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 t="shared" si="10"/>
        <v>-1430.800000000001</v>
      </c>
      <c r="X22" s="180">
        <f t="shared" si="13"/>
        <v>0.7444999999999998</v>
      </c>
      <c r="Y22" s="197">
        <f t="shared" si="8"/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 t="shared" si="9"/>
        <v>3743.970000000001</v>
      </c>
      <c r="I23" s="208">
        <f t="shared" si="12"/>
        <v>1.0235473958031966</v>
      </c>
      <c r="J23" s="108">
        <f t="shared" si="1"/>
        <v>-308826.0299999999</v>
      </c>
      <c r="K23" s="108">
        <f t="shared" si="11"/>
        <v>34.51070600330134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21431.880000000005</v>
      </c>
      <c r="T23" s="147">
        <f aca="true" t="shared" si="14" ref="T23:T41">G23/R23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 t="shared" si="10"/>
        <v>2110.4400000000023</v>
      </c>
      <c r="X23" s="148">
        <f t="shared" si="13"/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 t="shared" si="9"/>
        <v>1569.8499999999913</v>
      </c>
      <c r="I24" s="208">
        <f t="shared" si="12"/>
        <v>1.022493907079251</v>
      </c>
      <c r="J24" s="108">
        <f t="shared" si="1"/>
        <v>-145482.14</v>
      </c>
      <c r="K24" s="148">
        <f aca="true" t="shared" si="15" ref="K24:K41">G24/E24</f>
        <v>0.3290868927606276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3682.8600000000006</v>
      </c>
      <c r="T24" s="147">
        <f t="shared" si="14"/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 t="shared" si="10"/>
        <v>371.83999999998923</v>
      </c>
      <c r="X24" s="148">
        <f t="shared" si="13"/>
        <v>1.018665729632046</v>
      </c>
      <c r="Y24" s="197">
        <f aca="true" t="shared" si="16" ref="Y24:Y99">T24-Q24</f>
        <v>0.00804014746337911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 t="shared" si="9"/>
        <v>1330.6100000000006</v>
      </c>
      <c r="I25" s="211">
        <f t="shared" si="12"/>
        <v>1.118418546700485</v>
      </c>
      <c r="J25" s="171">
        <f t="shared" si="1"/>
        <v>-16216.89</v>
      </c>
      <c r="K25" s="180">
        <f t="shared" si="15"/>
        <v>0.4366005419677599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2820.800000000001</v>
      </c>
      <c r="T25" s="152">
        <f t="shared" si="14"/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 t="shared" si="10"/>
        <v>746.3600000000006</v>
      </c>
      <c r="X25" s="180">
        <f t="shared" si="13"/>
        <v>1.1529739700758352</v>
      </c>
      <c r="Y25" s="197">
        <f t="shared" si="16"/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 t="shared" si="9"/>
        <v>417.67999999999995</v>
      </c>
      <c r="I26" s="212">
        <f t="shared" si="12"/>
        <v>2.4884715441359893</v>
      </c>
      <c r="J26" s="176">
        <f t="shared" si="1"/>
        <v>-823.71</v>
      </c>
      <c r="K26" s="191">
        <f t="shared" si="15"/>
        <v>0.4587976346911958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498.04999999999995</v>
      </c>
      <c r="T26" s="162">
        <f t="shared" si="14"/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 t="shared" si="10"/>
        <v>117.72999999999996</v>
      </c>
      <c r="X26" s="191">
        <f t="shared" si="13"/>
        <v>2.7062318840579707</v>
      </c>
      <c r="Y26" s="197">
        <f t="shared" si="16"/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 t="shared" si="9"/>
        <v>912.9300000000003</v>
      </c>
      <c r="I27" s="212">
        <f t="shared" si="12"/>
        <v>1.083327780764502</v>
      </c>
      <c r="J27" s="176">
        <f t="shared" si="1"/>
        <v>-15393.18</v>
      </c>
      <c r="K27" s="191">
        <f t="shared" si="15"/>
        <v>0.435361308781454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2322.75</v>
      </c>
      <c r="T27" s="162">
        <f t="shared" si="14"/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 t="shared" si="10"/>
        <v>628.630000000001</v>
      </c>
      <c r="X27" s="191">
        <f t="shared" si="13"/>
        <v>1.1306923076923079</v>
      </c>
      <c r="Y27" s="197">
        <f t="shared" si="16"/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167.89</v>
      </c>
      <c r="H28" s="218">
        <f t="shared" si="9"/>
        <v>35.089999999999975</v>
      </c>
      <c r="I28" s="220">
        <f t="shared" si="12"/>
        <v>1.2642319277108431</v>
      </c>
      <c r="J28" s="221">
        <f t="shared" si="1"/>
        <v>-148.11</v>
      </c>
      <c r="K28" s="222">
        <f t="shared" si="15"/>
        <v>0.5312974683544304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-1.1800000000000068</v>
      </c>
      <c r="T28" s="222">
        <f t="shared" si="14"/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 t="shared" si="10"/>
        <v>21.31999999999998</v>
      </c>
      <c r="X28" s="222">
        <f t="shared" si="13"/>
        <v>1.3279999999999996</v>
      </c>
      <c r="Y28" s="277">
        <f t="shared" si="16"/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530.4</v>
      </c>
      <c r="H29" s="218">
        <f t="shared" si="9"/>
        <v>382.59</v>
      </c>
      <c r="I29" s="220">
        <f t="shared" si="12"/>
        <v>3.588390501319261</v>
      </c>
      <c r="J29" s="221">
        <f t="shared" si="1"/>
        <v>-675.6</v>
      </c>
      <c r="K29" s="222">
        <f t="shared" si="15"/>
        <v>0.43980099502487563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499.22999999999996</v>
      </c>
      <c r="T29" s="222">
        <f t="shared" si="14"/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 t="shared" si="10"/>
        <v>96.40999999999997</v>
      </c>
      <c r="X29" s="222">
        <f t="shared" si="13"/>
        <v>25.102499999999992</v>
      </c>
      <c r="Y29" s="277">
        <f t="shared" si="16"/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602.72</v>
      </c>
      <c r="H30" s="218">
        <f t="shared" si="9"/>
        <v>272.63000000000005</v>
      </c>
      <c r="I30" s="220">
        <f t="shared" si="12"/>
        <v>1.8259262625344606</v>
      </c>
      <c r="J30" s="221">
        <f t="shared" si="1"/>
        <v>-1752.28</v>
      </c>
      <c r="K30" s="222">
        <f t="shared" si="15"/>
        <v>0.25593205944798303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531.3100000000001</v>
      </c>
      <c r="T30" s="222">
        <f t="shared" si="14"/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 t="shared" si="10"/>
        <v>39.76999999999998</v>
      </c>
      <c r="X30" s="222">
        <f t="shared" si="13"/>
        <v>4.9769999999999985</v>
      </c>
      <c r="Y30" s="277">
        <f t="shared" si="16"/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11266.1</v>
      </c>
      <c r="H31" s="218">
        <f t="shared" si="9"/>
        <v>640.3000000000011</v>
      </c>
      <c r="I31" s="220">
        <f t="shared" si="12"/>
        <v>1.060258992264112</v>
      </c>
      <c r="J31" s="221">
        <f t="shared" si="1"/>
        <v>-13640.9</v>
      </c>
      <c r="K31" s="222">
        <f t="shared" si="15"/>
        <v>0.45232665515718473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1791.4400000000005</v>
      </c>
      <c r="T31" s="222">
        <f t="shared" si="14"/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 t="shared" si="13"/>
        <v>1.122679166666667</v>
      </c>
      <c r="Y31" s="277">
        <f t="shared" si="16"/>
        <v>0.04028468427921328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 t="shared" si="9"/>
        <v>289.20000000000005</v>
      </c>
      <c r="I32" s="211">
        <f t="shared" si="12"/>
        <v>2.6811021333488347</v>
      </c>
      <c r="J32" s="171">
        <f t="shared" si="1"/>
        <v>179.23000000000002</v>
      </c>
      <c r="K32" s="180">
        <f t="shared" si="15"/>
        <v>1.6355673758865248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356.72</v>
      </c>
      <c r="T32" s="150">
        <f t="shared" si="14"/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 t="shared" si="10"/>
        <v>104.16000000000003</v>
      </c>
      <c r="X32" s="180">
        <f t="shared" si="13"/>
        <v>9.680000000000001</v>
      </c>
      <c r="Y32" s="198">
        <f t="shared" si="16"/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277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339.89</v>
      </c>
      <c r="H34" s="71">
        <f t="shared" si="9"/>
        <v>195.70999999999998</v>
      </c>
      <c r="I34" s="209">
        <f t="shared" si="12"/>
        <v>2.357400471632681</v>
      </c>
      <c r="J34" s="72">
        <f t="shared" si="1"/>
        <v>157.89</v>
      </c>
      <c r="K34" s="75">
        <f t="shared" si="15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14"/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 t="shared" si="13"/>
        <v>9.68</v>
      </c>
      <c r="Y34" s="277">
        <f t="shared" si="16"/>
        <v>1.8472006763283177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 t="shared" si="9"/>
        <v>-49.9600000000064</v>
      </c>
      <c r="I35" s="211">
        <f t="shared" si="12"/>
        <v>0.9991442491694282</v>
      </c>
      <c r="J35" s="171">
        <f t="shared" si="1"/>
        <v>-129444.48000000001</v>
      </c>
      <c r="K35" s="180">
        <f t="shared" si="15"/>
        <v>0.3106441717791411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505.3599999999933</v>
      </c>
      <c r="T35" s="149">
        <f t="shared" si="14"/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 t="shared" si="10"/>
        <v>-478.68000000000757</v>
      </c>
      <c r="X35" s="180">
        <f t="shared" si="13"/>
        <v>0.9681516966067859</v>
      </c>
      <c r="Y35" s="198">
        <f t="shared" si="16"/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f>G38+G40</f>
        <v>17995.91</v>
      </c>
      <c r="H36" s="158">
        <f t="shared" si="9"/>
        <v>-1299.3200000000033</v>
      </c>
      <c r="I36" s="212">
        <f t="shared" si="12"/>
        <v>0.9326610773750816</v>
      </c>
      <c r="J36" s="176">
        <f t="shared" si="1"/>
        <v>-42694.09</v>
      </c>
      <c r="K36" s="191">
        <f t="shared" si="15"/>
        <v>0.2965218322623167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-1308.6299999999974</v>
      </c>
      <c r="T36" s="162">
        <f t="shared" si="14"/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 t="shared" si="10"/>
        <v>-583.7800000000043</v>
      </c>
      <c r="X36" s="191">
        <f aca="true" t="shared" si="18" ref="X36:X41">V36/U36*100</f>
        <v>88.1586206896551</v>
      </c>
      <c r="Y36" s="197">
        <f t="shared" si="16"/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40335.61</v>
      </c>
      <c r="H37" s="158">
        <f t="shared" si="9"/>
        <v>1249.3600000000006</v>
      </c>
      <c r="I37" s="212">
        <f t="shared" si="12"/>
        <v>1.0319641817774794</v>
      </c>
      <c r="J37" s="176">
        <f t="shared" si="1"/>
        <v>-86750.39</v>
      </c>
      <c r="K37" s="191">
        <f t="shared" si="15"/>
        <v>0.31738830398312956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1813.979999999996</v>
      </c>
      <c r="T37" s="162">
        <f t="shared" si="14"/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 t="shared" si="10"/>
        <v>105.10000000000218</v>
      </c>
      <c r="X37" s="191">
        <f>V37/U37</f>
        <v>1.0104059405940595</v>
      </c>
      <c r="Y37" s="197">
        <f t="shared" si="16"/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17652.61</v>
      </c>
      <c r="H38" s="218">
        <f t="shared" si="9"/>
        <v>-831.7900000000009</v>
      </c>
      <c r="I38" s="220">
        <f t="shared" si="12"/>
        <v>0.9550004327973859</v>
      </c>
      <c r="J38" s="221">
        <f t="shared" si="1"/>
        <v>-39637.39</v>
      </c>
      <c r="K38" s="222">
        <f t="shared" si="15"/>
        <v>0.30812724733810437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-1269.2599999999984</v>
      </c>
      <c r="T38" s="222">
        <f t="shared" si="14"/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 t="shared" si="10"/>
        <v>-430.96000000000095</v>
      </c>
      <c r="X38" s="222">
        <f t="shared" si="18"/>
        <v>90.83063829787233</v>
      </c>
      <c r="Y38" s="277">
        <f t="shared" si="16"/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33907.28</v>
      </c>
      <c r="H39" s="218">
        <f t="shared" si="9"/>
        <v>913.8300000000017</v>
      </c>
      <c r="I39" s="220">
        <f t="shared" si="12"/>
        <v>1.0276973156793243</v>
      </c>
      <c r="J39" s="221">
        <f t="shared" si="1"/>
        <v>-72078.72</v>
      </c>
      <c r="K39" s="222">
        <f t="shared" si="15"/>
        <v>0.31992225388258827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1621.3999999999978</v>
      </c>
      <c r="T39" s="222">
        <f t="shared" si="14"/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 t="shared" si="10"/>
        <v>102.57000000000335</v>
      </c>
      <c r="X39" s="222">
        <f t="shared" si="18"/>
        <v>101.1926744186047</v>
      </c>
      <c r="Y39" s="277">
        <f t="shared" si="16"/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343.3</v>
      </c>
      <c r="H40" s="218">
        <f t="shared" si="9"/>
        <v>-467.53000000000003</v>
      </c>
      <c r="I40" s="220">
        <f t="shared" si="12"/>
        <v>0.42339331302492506</v>
      </c>
      <c r="J40" s="221">
        <f t="shared" si="1"/>
        <v>-3056.7</v>
      </c>
      <c r="K40" s="222">
        <f t="shared" si="15"/>
        <v>0.10097058823529412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-39.370000000000005</v>
      </c>
      <c r="T40" s="222">
        <f t="shared" si="14"/>
        <v>0.8971176209266469</v>
      </c>
      <c r="U40" s="206">
        <f>F40-березень!F40</f>
        <v>230</v>
      </c>
      <c r="V40" s="206">
        <f>G40-березень!G40</f>
        <v>77.18</v>
      </c>
      <c r="W40" s="221">
        <f t="shared" si="10"/>
        <v>-152.82</v>
      </c>
      <c r="X40" s="222">
        <f t="shared" si="18"/>
        <v>33.55652173913044</v>
      </c>
      <c r="Y40" s="277">
        <f t="shared" si="16"/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6428.33</v>
      </c>
      <c r="H41" s="218">
        <f t="shared" si="9"/>
        <v>335.52999999999975</v>
      </c>
      <c r="I41" s="220">
        <f t="shared" si="12"/>
        <v>1.055069918592437</v>
      </c>
      <c r="J41" s="221">
        <f t="shared" si="1"/>
        <v>-14671.67</v>
      </c>
      <c r="K41" s="222">
        <f t="shared" si="15"/>
        <v>0.3046601895734597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192.57999999999993</v>
      </c>
      <c r="T41" s="222">
        <f t="shared" si="14"/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 t="shared" si="10"/>
        <v>2.5299999999997453</v>
      </c>
      <c r="X41" s="222">
        <f t="shared" si="18"/>
        <v>100.16866666666664</v>
      </c>
      <c r="Y41" s="277">
        <f t="shared" si="16"/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 t="shared" si="9"/>
        <v>17.529999999999994</v>
      </c>
      <c r="I43" s="208">
        <f>G43/F43</f>
        <v>1.3476105492762243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15.549999999999997</v>
      </c>
      <c r="T43" s="148">
        <f aca="true" t="shared" si="19" ref="T43:T51">G43/R43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 t="shared" si="10"/>
        <v>3.729999999999997</v>
      </c>
      <c r="X43" s="148">
        <f>V43/U43</f>
        <v>1.2194117647058822</v>
      </c>
      <c r="Y43" s="278">
        <f t="shared" si="16"/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56.05</v>
      </c>
      <c r="H44" s="71">
        <f t="shared" si="9"/>
        <v>25.15</v>
      </c>
      <c r="I44" s="209">
        <f>G44/F44</f>
        <v>1.813915857605178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28.189999999999998</v>
      </c>
      <c r="T44" s="75">
        <f t="shared" si="19"/>
        <v>2.0118449389806172</v>
      </c>
      <c r="U44" s="73">
        <f>F44-березень!F44</f>
        <v>5</v>
      </c>
      <c r="V44" s="98">
        <f>G44-березень!G44</f>
        <v>17.15</v>
      </c>
      <c r="W44" s="74">
        <f t="shared" si="10"/>
        <v>12.149999999999999</v>
      </c>
      <c r="X44" s="75">
        <f>V44/U44</f>
        <v>3.4299999999999997</v>
      </c>
      <c r="Y44" s="277">
        <f t="shared" si="16"/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11.91</v>
      </c>
      <c r="H45" s="71">
        <f t="shared" si="9"/>
        <v>-7.620000000000001</v>
      </c>
      <c r="I45" s="209">
        <f>G45/F45</f>
        <v>0.6098310291858678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-12.64</v>
      </c>
      <c r="T45" s="75">
        <f t="shared" si="19"/>
        <v>0.485132382892057</v>
      </c>
      <c r="U45" s="73">
        <f>F45-березень!F45</f>
        <v>12</v>
      </c>
      <c r="V45" s="98">
        <f>G45-березень!G45</f>
        <v>3.58</v>
      </c>
      <c r="W45" s="74">
        <f t="shared" si="10"/>
        <v>-8.42</v>
      </c>
      <c r="X45" s="75">
        <f>V45/U45</f>
        <v>0.29833333333333334</v>
      </c>
      <c r="Y45" s="277">
        <f t="shared" si="16"/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 t="shared" si="9"/>
        <v>2157.779999999999</v>
      </c>
      <c r="I47" s="208">
        <f>G47/F47</f>
        <v>1.024202090789302</v>
      </c>
      <c r="J47" s="108">
        <f t="shared" si="1"/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17707.5</v>
      </c>
      <c r="T47" s="160">
        <f t="shared" si="19"/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 t="shared" si="10"/>
        <v>1734.2900000000081</v>
      </c>
      <c r="X47" s="148">
        <f>V47/U47</f>
        <v>1.084568160096745</v>
      </c>
      <c r="Y47" s="197">
        <f t="shared" si="16"/>
        <v>0.10096638726953677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 t="shared" si="1"/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3924.74</v>
      </c>
      <c r="T49" s="153">
        <f t="shared" si="19"/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 t="shared" si="10"/>
        <v>-583.0799999999981</v>
      </c>
      <c r="X49" s="75">
        <f>V49/U49</f>
        <v>0.8542300000000004</v>
      </c>
      <c r="Y49" s="197">
        <f t="shared" si="16"/>
        <v>0.043093301687456176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 t="shared" si="1"/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13773.450000000004</v>
      </c>
      <c r="T50" s="153">
        <f t="shared" si="19"/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 t="shared" si="10"/>
        <v>2314.8699999999953</v>
      </c>
      <c r="X50" s="75">
        <f>V50/U50</f>
        <v>1.1402951515151512</v>
      </c>
      <c r="Y50" s="197">
        <f t="shared" si="16"/>
        <v>0.11624584694570994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9"/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 t="shared" si="10"/>
        <v>2.5</v>
      </c>
      <c r="X51" s="75"/>
      <c r="Y51" s="197">
        <f t="shared" si="16"/>
        <v>0.2089018746245379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 aca="true" t="shared" si="20" ref="I53:I72">G53/F53</f>
        <v>1.1212768101288693</v>
      </c>
      <c r="J53" s="104">
        <f>G53-E53</f>
        <v>-31113.11</v>
      </c>
      <c r="K53" s="156">
        <f aca="true" t="shared" si="21" ref="K53:K72">G53/E53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 t="shared" si="16"/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245.78</v>
      </c>
      <c r="H58" s="102">
        <f t="shared" si="22"/>
        <v>37.349999999999994</v>
      </c>
      <c r="I58" s="213">
        <f t="shared" si="20"/>
        <v>1.1791968526603656</v>
      </c>
      <c r="J58" s="115">
        <f t="shared" si="24"/>
        <v>-498.22</v>
      </c>
      <c r="K58" s="155">
        <f t="shared" si="21"/>
        <v>0.3303494623655914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-148.70000000000002</v>
      </c>
      <c r="T58" s="155">
        <f t="shared" si="27"/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 t="shared" si="23"/>
        <v>-38.81</v>
      </c>
      <c r="X58" s="155">
        <f t="shared" si="28"/>
        <v>0.35316666666666663</v>
      </c>
      <c r="Y58" s="197">
        <f t="shared" si="16"/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275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376.39</v>
      </c>
      <c r="H60" s="102">
        <f t="shared" si="22"/>
        <v>-7.610000000000014</v>
      </c>
      <c r="I60" s="213">
        <f t="shared" si="20"/>
        <v>0.9801822916666666</v>
      </c>
      <c r="J60" s="115">
        <f t="shared" si="24"/>
        <v>-907.61</v>
      </c>
      <c r="K60" s="155">
        <f t="shared" si="21"/>
        <v>0.2931386292834891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-17.08000000000004</v>
      </c>
      <c r="T60" s="155">
        <f t="shared" si="27"/>
        <v>0.9565913538516277</v>
      </c>
      <c r="U60" s="107">
        <f>F60-березень!F60</f>
        <v>100</v>
      </c>
      <c r="V60" s="110">
        <f>G60-березень!G60</f>
        <v>96.06</v>
      </c>
      <c r="W60" s="111">
        <f t="shared" si="23"/>
        <v>-3.9399999999999977</v>
      </c>
      <c r="X60" s="155">
        <f t="shared" si="28"/>
        <v>0.9606</v>
      </c>
      <c r="Y60" s="197">
        <f t="shared" si="16"/>
        <v>-0.10884502698379372</v>
      </c>
    </row>
    <row r="61" spans="1:25" s="6" customFormat="1" ht="18" hidden="1">
      <c r="A61" s="8"/>
      <c r="B61" s="275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6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8292.46</v>
      </c>
      <c r="H62" s="102">
        <f t="shared" si="22"/>
        <v>802.4599999999991</v>
      </c>
      <c r="I62" s="213">
        <f t="shared" si="20"/>
        <v>1.1071375166889184</v>
      </c>
      <c r="J62" s="115">
        <f t="shared" si="24"/>
        <v>-12967.54</v>
      </c>
      <c r="K62" s="155">
        <f t="shared" si="21"/>
        <v>0.3900498588899341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3610.949999999999</v>
      </c>
      <c r="T62" s="155">
        <f t="shared" si="27"/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 t="shared" si="23"/>
        <v>290.5199999999995</v>
      </c>
      <c r="X62" s="155">
        <f t="shared" si="28"/>
        <v>1.1613999999999998</v>
      </c>
      <c r="Y62" s="197">
        <f t="shared" si="16"/>
        <v>0.7141435261283342</v>
      </c>
    </row>
    <row r="63" spans="1:25" s="6" customFormat="1" ht="31.5">
      <c r="A63" s="8"/>
      <c r="B63" s="276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272.85</v>
      </c>
      <c r="H63" s="102">
        <f t="shared" si="22"/>
        <v>23.850000000000023</v>
      </c>
      <c r="I63" s="213">
        <f t="shared" si="20"/>
        <v>1.0957831325301206</v>
      </c>
      <c r="J63" s="115">
        <f t="shared" si="24"/>
        <v>-494.15</v>
      </c>
      <c r="K63" s="155">
        <f t="shared" si="21"/>
        <v>0.35573663624511087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97.48000000000002</v>
      </c>
      <c r="T63" s="155">
        <f t="shared" si="27"/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 t="shared" si="23"/>
        <v>6.690000000000026</v>
      </c>
      <c r="X63" s="155">
        <f t="shared" si="28"/>
        <v>1.1045312500000004</v>
      </c>
      <c r="Y63" s="197">
        <f t="shared" si="16"/>
        <v>0.4756325060262665</v>
      </c>
    </row>
    <row r="64" spans="1:25" s="6" customFormat="1" ht="31.5">
      <c r="A64" s="8"/>
      <c r="B64" s="276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 t="shared" si="22"/>
        <v>-37.389999999999986</v>
      </c>
      <c r="I66" s="213">
        <f t="shared" si="20"/>
        <v>0.8613336300252189</v>
      </c>
      <c r="J66" s="115">
        <f t="shared" si="24"/>
        <v>-633.75</v>
      </c>
      <c r="K66" s="155">
        <f t="shared" si="21"/>
        <v>0.2681870669745958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-57.00999999999999</v>
      </c>
      <c r="T66" s="155">
        <f t="shared" si="27"/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 t="shared" si="23"/>
        <v>-2.5500000000000114</v>
      </c>
      <c r="X66" s="155">
        <f t="shared" si="28"/>
        <v>0.9657718120805368</v>
      </c>
      <c r="Y66" s="197">
        <f t="shared" si="16"/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184.51</v>
      </c>
      <c r="H67" s="71">
        <f t="shared" si="22"/>
        <v>-38.91</v>
      </c>
      <c r="I67" s="209">
        <f t="shared" si="20"/>
        <v>0.8258437024438278</v>
      </c>
      <c r="J67" s="72">
        <f t="shared" si="24"/>
        <v>-543.69</v>
      </c>
      <c r="K67" s="75">
        <f t="shared" si="21"/>
        <v>0.2533781928041747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-70.87</v>
      </c>
      <c r="T67" s="204">
        <f t="shared" si="27"/>
        <v>0.7224919727464953</v>
      </c>
      <c r="U67" s="73">
        <f>F67-березень!F67</f>
        <v>63</v>
      </c>
      <c r="V67" s="98">
        <f>G67-березень!G67</f>
        <v>60.05</v>
      </c>
      <c r="W67" s="74">
        <f t="shared" si="23"/>
        <v>-2.950000000000003</v>
      </c>
      <c r="X67" s="75">
        <f t="shared" si="28"/>
        <v>0.9531746031746031</v>
      </c>
      <c r="Y67" s="197">
        <f t="shared" si="16"/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47.69</v>
      </c>
      <c r="H70" s="71">
        <f t="shared" si="22"/>
        <v>1.6699999999999946</v>
      </c>
      <c r="I70" s="209">
        <f t="shared" si="20"/>
        <v>1.0362885701868751</v>
      </c>
      <c r="J70" s="72">
        <f t="shared" si="24"/>
        <v>-89.11000000000001</v>
      </c>
      <c r="K70" s="75">
        <f t="shared" si="21"/>
        <v>0.34861111111111104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13.919999999999995</v>
      </c>
      <c r="T70" s="204">
        <f t="shared" si="27"/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 t="shared" si="23"/>
        <v>0.4999999999999929</v>
      </c>
      <c r="X70" s="75">
        <f t="shared" si="28"/>
        <v>1.0438596491228063</v>
      </c>
      <c r="Y70" s="197">
        <f t="shared" si="16"/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2034.03</v>
      </c>
      <c r="H72" s="102">
        <f t="shared" si="22"/>
        <v>-574.6200000000001</v>
      </c>
      <c r="I72" s="213">
        <f t="shared" si="20"/>
        <v>0.7797251451900408</v>
      </c>
      <c r="J72" s="115">
        <f t="shared" si="24"/>
        <v>-6135.97</v>
      </c>
      <c r="K72" s="155">
        <f t="shared" si="21"/>
        <v>0.24896328029375764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-1502.18</v>
      </c>
      <c r="T72" s="155">
        <f t="shared" si="27"/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 t="shared" si="23"/>
        <v>-144.67000000000007</v>
      </c>
      <c r="X72" s="155">
        <f t="shared" si="28"/>
        <v>0.7872499999999999</v>
      </c>
      <c r="Y72" s="197">
        <f t="shared" si="16"/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 t="shared" si="16"/>
        <v>0.06288093166558384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 t="shared" si="31"/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1570.74</v>
      </c>
      <c r="T88" s="147">
        <f t="shared" si="30"/>
        <v>13090.5</v>
      </c>
      <c r="U88" s="112">
        <f>F88-березень!F88</f>
        <v>0</v>
      </c>
      <c r="V88" s="118">
        <f>G88-березень!G88</f>
        <v>764.3999999999999</v>
      </c>
      <c r="W88" s="117">
        <f t="shared" si="34"/>
        <v>764.3999999999999</v>
      </c>
      <c r="X88" s="147" t="e">
        <f>V88/U88</f>
        <v>#DIV/0!</v>
      </c>
      <c r="Y88" s="197">
        <f t="shared" si="16"/>
        <v>13081.633477945723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1461.36</v>
      </c>
      <c r="H89" s="112">
        <f t="shared" si="31"/>
        <v>-1553.64</v>
      </c>
      <c r="I89" s="213">
        <f>G89/F89</f>
        <v>0.4846965174129353</v>
      </c>
      <c r="J89" s="117">
        <f aca="true" t="shared" si="35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1158.4399999999998</v>
      </c>
      <c r="T89" s="147">
        <f t="shared" si="30"/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 t="shared" si="34"/>
        <v>-740.3500000000001</v>
      </c>
      <c r="X89" s="147">
        <f>V89/U89</f>
        <v>0.2596499999999999</v>
      </c>
      <c r="Y89" s="197">
        <f t="shared" si="16"/>
        <v>2.804388063431803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 t="shared" si="31"/>
        <v>-7044.839</v>
      </c>
      <c r="I92" s="216">
        <f>G92/F92</f>
        <v>0.4044649999590006</v>
      </c>
      <c r="J92" s="131">
        <f t="shared" si="35"/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2655.11</v>
      </c>
      <c r="T92" s="147">
        <f t="shared" si="30"/>
        <v>2.24683490805267</v>
      </c>
      <c r="U92" s="129">
        <f>F92-березень!F92</f>
        <v>3002</v>
      </c>
      <c r="V92" s="174">
        <f>G92-березень!G92</f>
        <v>1315.63</v>
      </c>
      <c r="W92" s="131">
        <f t="shared" si="34"/>
        <v>-1686.37</v>
      </c>
      <c r="X92" s="151">
        <f>V92/U92</f>
        <v>0.4382511658894071</v>
      </c>
      <c r="Y92" s="197">
        <f t="shared" si="16"/>
        <v>0.4743931619835371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2603.7</v>
      </c>
      <c r="H95" s="112">
        <f t="shared" si="31"/>
        <v>-229.75</v>
      </c>
      <c r="I95" s="213">
        <f>G95/F95</f>
        <v>0.9189151034957384</v>
      </c>
      <c r="J95" s="117">
        <f t="shared" si="35"/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372.15999999999985</v>
      </c>
      <c r="T95" s="147">
        <f t="shared" si="30"/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 t="shared" si="34"/>
        <v>88.65000000000009</v>
      </c>
      <c r="X95" s="147">
        <f>V95/U95</f>
        <v>7.470802919708122</v>
      </c>
      <c r="Y95" s="197">
        <f t="shared" si="16"/>
        <v>0.04030177496942988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 t="shared" si="31"/>
        <v>-239.44999999999982</v>
      </c>
      <c r="I97" s="216">
        <f>G97/F97</f>
        <v>0.9158185237919457</v>
      </c>
      <c r="J97" s="131">
        <f t="shared" si="35"/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364.17999999999984</v>
      </c>
      <c r="T97" s="147">
        <f t="shared" si="30"/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 t="shared" si="34"/>
        <v>84.71000000000049</v>
      </c>
      <c r="X97" s="151">
        <f>V97/U97</f>
        <v>5.7858757062147665</v>
      </c>
      <c r="Y97" s="197">
        <f t="shared" si="16"/>
        <v>0.03759648260888948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15.98</v>
      </c>
      <c r="H98" s="112">
        <f t="shared" si="31"/>
        <v>1.9900000000000002</v>
      </c>
      <c r="I98" s="213">
        <f>G98/F98</f>
        <v>1.1422444603288062</v>
      </c>
      <c r="J98" s="117">
        <f t="shared" si="35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8.38</v>
      </c>
      <c r="T98" s="147">
        <f t="shared" si="30"/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 t="shared" si="34"/>
        <v>-2.7947799999999994</v>
      </c>
      <c r="X98" s="147">
        <f>V98/U98</f>
        <v>0.523463795743404</v>
      </c>
      <c r="Y98" s="197">
        <f t="shared" si="16"/>
        <v>0.853606289168654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 t="shared" si="30"/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 t="shared" si="30"/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>
      <c r="B105" s="263" t="s">
        <v>146</v>
      </c>
      <c r="C105" s="264">
        <v>43217</v>
      </c>
      <c r="D105" s="261"/>
      <c r="E105" s="261">
        <v>15675.4</v>
      </c>
      <c r="F105" s="78"/>
      <c r="G105" s="4" t="s">
        <v>147</v>
      </c>
    </row>
    <row r="106" spans="3:10" ht="15">
      <c r="C106" s="264">
        <v>43216</v>
      </c>
      <c r="D106" s="261"/>
      <c r="E106" s="261">
        <v>15747.1</v>
      </c>
      <c r="F106" s="78"/>
      <c r="G106" s="279"/>
      <c r="H106" s="279"/>
      <c r="I106" s="265"/>
      <c r="J106" s="266"/>
    </row>
    <row r="107" spans="3:10" ht="15">
      <c r="C107" s="264">
        <v>43215</v>
      </c>
      <c r="D107" s="261"/>
      <c r="E107" s="261">
        <v>7760.3</v>
      </c>
      <c r="F107" s="78"/>
      <c r="G107" s="279"/>
      <c r="H107" s="279"/>
      <c r="I107" s="265"/>
      <c r="J107" s="267"/>
    </row>
    <row r="108" spans="3:10" ht="15">
      <c r="C108" s="264"/>
      <c r="D108" s="4"/>
      <c r="F108" s="268"/>
      <c r="G108" s="280"/>
      <c r="H108" s="280"/>
      <c r="I108" s="269"/>
      <c r="J108" s="266"/>
    </row>
    <row r="109" spans="2:10" ht="16.5">
      <c r="B109" s="281" t="s">
        <v>148</v>
      </c>
      <c r="C109" s="282"/>
      <c r="D109" s="270"/>
      <c r="E109" s="274">
        <f>'[1]залишки'!$G$6/1000</f>
        <v>29.375259999999997</v>
      </c>
      <c r="F109" s="272" t="s">
        <v>149</v>
      </c>
      <c r="G109" s="279"/>
      <c r="H109" s="279"/>
      <c r="I109" s="273"/>
      <c r="J109" s="266"/>
    </row>
    <row r="110" spans="4:10" ht="15">
      <c r="D110" s="4"/>
      <c r="F110" s="268"/>
      <c r="G110" s="279"/>
      <c r="H110" s="279"/>
      <c r="I110" s="268"/>
      <c r="J110" s="271"/>
    </row>
  </sheetData>
  <sheetProtection/>
  <mergeCells count="28"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="78" zoomScaleNormal="78" zoomScalePageLayoutView="0" workbookViewId="0" topLeftCell="B1">
      <pane xSplit="3" ySplit="8" topLeftCell="R104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0" sqref="A110:IV19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4" width="11.75390625" style="4" customWidth="1"/>
    <col min="15" max="15" width="14.00390625" style="4" customWidth="1"/>
    <col min="16" max="16" width="13.125" style="4" customWidth="1"/>
    <col min="17" max="17" width="11.875" style="163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301" t="s">
        <v>163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186"/>
    </row>
    <row r="2" spans="2:25" s="1" customFormat="1" ht="15.75" customHeight="1">
      <c r="B2" s="302"/>
      <c r="C2" s="302"/>
      <c r="D2" s="302"/>
      <c r="E2" s="302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3"/>
      <c r="B3" s="305"/>
      <c r="C3" s="306" t="s">
        <v>0</v>
      </c>
      <c r="D3" s="307" t="s">
        <v>131</v>
      </c>
      <c r="E3" s="307" t="s">
        <v>162</v>
      </c>
      <c r="F3" s="25"/>
      <c r="G3" s="308" t="s">
        <v>26</v>
      </c>
      <c r="H3" s="309"/>
      <c r="I3" s="309"/>
      <c r="J3" s="309"/>
      <c r="K3" s="31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1" t="s">
        <v>160</v>
      </c>
      <c r="V3" s="312" t="s">
        <v>161</v>
      </c>
      <c r="W3" s="312"/>
      <c r="X3" s="312"/>
      <c r="Y3" s="194"/>
    </row>
    <row r="4" spans="1:24" ht="22.5" customHeight="1">
      <c r="A4" s="303"/>
      <c r="B4" s="305"/>
      <c r="C4" s="306"/>
      <c r="D4" s="307"/>
      <c r="E4" s="307"/>
      <c r="F4" s="295" t="s">
        <v>156</v>
      </c>
      <c r="G4" s="297" t="s">
        <v>31</v>
      </c>
      <c r="H4" s="285" t="s">
        <v>157</v>
      </c>
      <c r="I4" s="299" t="s">
        <v>158</v>
      </c>
      <c r="J4" s="285" t="s">
        <v>132</v>
      </c>
      <c r="K4" s="29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9"/>
      <c r="V4" s="283" t="s">
        <v>164</v>
      </c>
      <c r="W4" s="285" t="s">
        <v>44</v>
      </c>
      <c r="X4" s="287" t="s">
        <v>43</v>
      </c>
    </row>
    <row r="5" spans="1:24" ht="67.5" customHeight="1">
      <c r="A5" s="304"/>
      <c r="B5" s="305"/>
      <c r="C5" s="306"/>
      <c r="D5" s="307"/>
      <c r="E5" s="307"/>
      <c r="F5" s="296"/>
      <c r="G5" s="298"/>
      <c r="H5" s="286"/>
      <c r="I5" s="300"/>
      <c r="J5" s="286"/>
      <c r="K5" s="300"/>
      <c r="L5" s="288" t="s">
        <v>135</v>
      </c>
      <c r="M5" s="289"/>
      <c r="N5" s="290"/>
      <c r="O5" s="291" t="s">
        <v>153</v>
      </c>
      <c r="P5" s="292"/>
      <c r="Q5" s="293"/>
      <c r="R5" s="294" t="s">
        <v>159</v>
      </c>
      <c r="S5" s="294"/>
      <c r="T5" s="294"/>
      <c r="U5" s="300"/>
      <c r="V5" s="284"/>
      <c r="W5" s="286"/>
      <c r="X5" s="28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2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52">
        <f t="shared" si="6"/>
        <v>1.570491642040603</v>
      </c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52">
        <f t="shared" si="6"/>
        <v>1.4947585870304227</v>
      </c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277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277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277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277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277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277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f>G38+G40</f>
        <v>13649.69</v>
      </c>
      <c r="H36" s="158">
        <f t="shared" si="9"/>
        <v>-715.539999999999</v>
      </c>
      <c r="I36" s="212">
        <f t="shared" si="12"/>
        <v>0.9501894504995744</v>
      </c>
      <c r="J36" s="176">
        <f t="shared" si="1"/>
        <v>-47040.31</v>
      </c>
      <c r="K36" s="191">
        <f t="shared" si="15"/>
        <v>0.22490838688416545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-785.7499999999982</v>
      </c>
      <c r="T36" s="162">
        <f t="shared" si="14"/>
        <v>0.945567990999928</v>
      </c>
      <c r="U36" s="167">
        <f>F36-лютий!F36</f>
        <v>5139</v>
      </c>
      <c r="V36" s="167">
        <f>G36-лютий!G36</f>
        <v>5529.67</v>
      </c>
      <c r="W36" s="176">
        <f t="shared" si="10"/>
        <v>390.6700000000001</v>
      </c>
      <c r="X36" s="191">
        <f aca="true" t="shared" si="18" ref="X36:X41">V36/U36*100</f>
        <v>107.60206265810469</v>
      </c>
      <c r="Y36" s="197">
        <f t="shared" si="16"/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277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277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277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277">
        <f t="shared" si="16"/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278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277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277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275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275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6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276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276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171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 t="e">
        <f>IF(W79&lt;0,ABS(W79/C103),0)</f>
        <v>#VALUE!</v>
      </c>
    </row>
    <row r="105" spans="2:7" ht="30.75">
      <c r="B105" s="263" t="s">
        <v>146</v>
      </c>
      <c r="C105" s="264">
        <v>43189</v>
      </c>
      <c r="D105" s="261"/>
      <c r="E105" s="261">
        <v>10196.34</v>
      </c>
      <c r="F105" s="78"/>
      <c r="G105" s="4" t="s">
        <v>147</v>
      </c>
    </row>
    <row r="106" spans="3:10" ht="15">
      <c r="C106" s="264">
        <v>43188</v>
      </c>
      <c r="D106" s="261"/>
      <c r="E106" s="261">
        <v>14970</v>
      </c>
      <c r="F106" s="78"/>
      <c r="G106" s="279"/>
      <c r="H106" s="279"/>
      <c r="I106" s="265"/>
      <c r="J106" s="266"/>
    </row>
    <row r="107" spans="3:10" ht="15">
      <c r="C107" s="264">
        <v>43187</v>
      </c>
      <c r="D107" s="261"/>
      <c r="E107" s="261">
        <v>5510.6</v>
      </c>
      <c r="F107" s="78"/>
      <c r="G107" s="279"/>
      <c r="H107" s="279"/>
      <c r="I107" s="265"/>
      <c r="J107" s="267"/>
    </row>
    <row r="108" spans="3:10" ht="15">
      <c r="C108" s="264"/>
      <c r="D108" s="4"/>
      <c r="F108" s="268"/>
      <c r="G108" s="280"/>
      <c r="H108" s="280"/>
      <c r="I108" s="269"/>
      <c r="J108" s="266"/>
    </row>
    <row r="109" spans="2:10" ht="16.5">
      <c r="B109" s="281" t="s">
        <v>148</v>
      </c>
      <c r="C109" s="282"/>
      <c r="D109" s="270"/>
      <c r="E109" s="274">
        <f>'[1]залишки'!$G$6/1000</f>
        <v>29.375259999999997</v>
      </c>
      <c r="F109" s="272" t="s">
        <v>149</v>
      </c>
      <c r="G109" s="279"/>
      <c r="H109" s="279"/>
      <c r="I109" s="273"/>
      <c r="J109" s="266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" right="0" top="0" bottom="0" header="0" footer="0"/>
  <pageSetup fitToHeight="1" fitToWidth="1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9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4" sqref="B1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301" t="s">
        <v>154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186"/>
    </row>
    <row r="2" spans="2:25" s="1" customFormat="1" ht="15.75" customHeight="1">
      <c r="B2" s="302"/>
      <c r="C2" s="302"/>
      <c r="D2" s="302"/>
      <c r="E2" s="302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3"/>
      <c r="B3" s="305"/>
      <c r="C3" s="306" t="s">
        <v>0</v>
      </c>
      <c r="D3" s="307" t="s">
        <v>131</v>
      </c>
      <c r="E3" s="307" t="s">
        <v>131</v>
      </c>
      <c r="F3" s="25"/>
      <c r="G3" s="308" t="s">
        <v>26</v>
      </c>
      <c r="H3" s="309"/>
      <c r="I3" s="309"/>
      <c r="J3" s="309"/>
      <c r="K3" s="31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1" t="s">
        <v>141</v>
      </c>
      <c r="V3" s="312" t="s">
        <v>136</v>
      </c>
      <c r="W3" s="312"/>
      <c r="X3" s="312"/>
      <c r="Y3" s="194"/>
    </row>
    <row r="4" spans="1:24" ht="22.5" customHeight="1">
      <c r="A4" s="303"/>
      <c r="B4" s="305"/>
      <c r="C4" s="306"/>
      <c r="D4" s="307"/>
      <c r="E4" s="307"/>
      <c r="F4" s="295" t="s">
        <v>139</v>
      </c>
      <c r="G4" s="297" t="s">
        <v>31</v>
      </c>
      <c r="H4" s="285" t="s">
        <v>129</v>
      </c>
      <c r="I4" s="299" t="s">
        <v>130</v>
      </c>
      <c r="J4" s="285" t="s">
        <v>132</v>
      </c>
      <c r="K4" s="29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9"/>
      <c r="V4" s="283" t="s">
        <v>155</v>
      </c>
      <c r="W4" s="285" t="s">
        <v>44</v>
      </c>
      <c r="X4" s="287" t="s">
        <v>43</v>
      </c>
    </row>
    <row r="5" spans="1:24" ht="67.5" customHeight="1">
      <c r="A5" s="304"/>
      <c r="B5" s="305"/>
      <c r="C5" s="306"/>
      <c r="D5" s="307"/>
      <c r="E5" s="307"/>
      <c r="F5" s="296"/>
      <c r="G5" s="298"/>
      <c r="H5" s="286"/>
      <c r="I5" s="300"/>
      <c r="J5" s="286"/>
      <c r="K5" s="300"/>
      <c r="L5" s="288" t="s">
        <v>135</v>
      </c>
      <c r="M5" s="289"/>
      <c r="N5" s="290"/>
      <c r="O5" s="291" t="s">
        <v>153</v>
      </c>
      <c r="P5" s="292"/>
      <c r="Q5" s="293"/>
      <c r="R5" s="294" t="s">
        <v>152</v>
      </c>
      <c r="S5" s="294"/>
      <c r="T5" s="294"/>
      <c r="U5" s="300"/>
      <c r="V5" s="284"/>
      <c r="W5" s="286"/>
      <c r="X5" s="28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2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f>G38+G40</f>
        <v>8120.02</v>
      </c>
      <c r="H36" s="158">
        <f t="shared" si="9"/>
        <v>-1106.2099999999991</v>
      </c>
      <c r="I36" s="212">
        <f t="shared" si="12"/>
        <v>0.8801016233065945</v>
      </c>
      <c r="J36" s="176">
        <f t="shared" si="1"/>
        <v>-52569.979999999996</v>
      </c>
      <c r="K36" s="191">
        <f t="shared" si="15"/>
        <v>0.13379502389190973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-739.1899999999987</v>
      </c>
      <c r="T36" s="162">
        <f t="shared" si="14"/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 t="shared" si="10"/>
        <v>-1106.2199999999993</v>
      </c>
      <c r="X36" s="191">
        <f aca="true" t="shared" si="19" ref="X36:X41">V36/U36*100</f>
        <v>78.5574723783679</v>
      </c>
      <c r="Y36" s="197">
        <f t="shared" si="16"/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5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5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6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6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6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279"/>
      <c r="H106" s="279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279"/>
      <c r="H107" s="279"/>
      <c r="I107" s="265"/>
      <c r="J107" s="267"/>
    </row>
    <row r="108" spans="3:10" ht="15" hidden="1">
      <c r="C108" s="264"/>
      <c r="D108" s="4"/>
      <c r="F108" s="268"/>
      <c r="G108" s="280"/>
      <c r="H108" s="280"/>
      <c r="I108" s="269"/>
      <c r="J108" s="266"/>
    </row>
    <row r="109" spans="2:10" ht="16.5" hidden="1">
      <c r="B109" s="281" t="s">
        <v>148</v>
      </c>
      <c r="C109" s="282"/>
      <c r="D109" s="270"/>
      <c r="E109" s="274">
        <v>144.8304</v>
      </c>
      <c r="F109" s="272" t="s">
        <v>149</v>
      </c>
      <c r="G109" s="279"/>
      <c r="H109" s="279"/>
      <c r="I109" s="273"/>
      <c r="J109" s="266"/>
    </row>
  </sheetData>
  <sheetProtection/>
  <mergeCells count="27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16" sqref="C11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01" t="s">
        <v>128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186"/>
    </row>
    <row r="2" spans="2:25" s="1" customFormat="1" ht="15.75" customHeight="1">
      <c r="B2" s="302"/>
      <c r="C2" s="302"/>
      <c r="D2" s="302"/>
      <c r="E2" s="302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3"/>
      <c r="B3" s="305"/>
      <c r="C3" s="306" t="s">
        <v>0</v>
      </c>
      <c r="D3" s="316" t="s">
        <v>131</v>
      </c>
      <c r="E3" s="307" t="s">
        <v>131</v>
      </c>
      <c r="F3" s="25"/>
      <c r="G3" s="308" t="s">
        <v>26</v>
      </c>
      <c r="H3" s="309"/>
      <c r="I3" s="309"/>
      <c r="J3" s="309"/>
      <c r="K3" s="31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1" t="s">
        <v>140</v>
      </c>
      <c r="V3" s="312" t="s">
        <v>124</v>
      </c>
      <c r="W3" s="312"/>
      <c r="X3" s="312"/>
      <c r="Y3" s="194"/>
    </row>
    <row r="4" spans="1:24" ht="22.5" customHeight="1">
      <c r="A4" s="303"/>
      <c r="B4" s="305"/>
      <c r="C4" s="306"/>
      <c r="D4" s="317"/>
      <c r="E4" s="307"/>
      <c r="F4" s="295" t="s">
        <v>138</v>
      </c>
      <c r="G4" s="297" t="s">
        <v>31</v>
      </c>
      <c r="H4" s="285" t="s">
        <v>122</v>
      </c>
      <c r="I4" s="299" t="s">
        <v>123</v>
      </c>
      <c r="J4" s="285" t="s">
        <v>132</v>
      </c>
      <c r="K4" s="299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9"/>
      <c r="V4" s="283" t="s">
        <v>137</v>
      </c>
      <c r="W4" s="285" t="s">
        <v>44</v>
      </c>
      <c r="X4" s="287" t="s">
        <v>43</v>
      </c>
    </row>
    <row r="5" spans="1:24" ht="67.5" customHeight="1">
      <c r="A5" s="304"/>
      <c r="B5" s="305"/>
      <c r="C5" s="306"/>
      <c r="D5" s="318"/>
      <c r="E5" s="307"/>
      <c r="F5" s="296"/>
      <c r="G5" s="298"/>
      <c r="H5" s="286"/>
      <c r="I5" s="300"/>
      <c r="J5" s="286"/>
      <c r="K5" s="300"/>
      <c r="L5" s="288" t="s">
        <v>109</v>
      </c>
      <c r="M5" s="289"/>
      <c r="N5" s="290"/>
      <c r="O5" s="313" t="s">
        <v>125</v>
      </c>
      <c r="P5" s="314"/>
      <c r="Q5" s="315"/>
      <c r="R5" s="294" t="s">
        <v>127</v>
      </c>
      <c r="S5" s="294"/>
      <c r="T5" s="294"/>
      <c r="U5" s="300"/>
      <c r="V5" s="284"/>
      <c r="W5" s="286"/>
      <c r="X5" s="28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2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279"/>
      <c r="H106" s="279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279"/>
      <c r="H107" s="279"/>
      <c r="I107" s="265"/>
      <c r="J107" s="267"/>
      <c r="Y107" s="199"/>
    </row>
    <row r="108" spans="3:25" ht="15">
      <c r="C108" s="264"/>
      <c r="D108" s="4"/>
      <c r="F108" s="268"/>
      <c r="G108" s="280"/>
      <c r="H108" s="280"/>
      <c r="I108" s="269"/>
      <c r="J108" s="266"/>
      <c r="Y108" s="199"/>
    </row>
    <row r="109" spans="2:25" ht="16.5">
      <c r="B109" s="281" t="s">
        <v>148</v>
      </c>
      <c r="C109" s="281"/>
      <c r="D109" s="270"/>
      <c r="E109" s="270">
        <f>3396166.95/1000</f>
        <v>3396.1669500000003</v>
      </c>
      <c r="F109" s="272" t="s">
        <v>149</v>
      </c>
      <c r="G109" s="279"/>
      <c r="H109" s="279"/>
      <c r="I109" s="273"/>
      <c r="J109" s="266"/>
      <c r="Y109" s="199"/>
    </row>
  </sheetData>
  <sheetProtection/>
  <mergeCells count="27"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2018-05-03T12:39:10Z</cp:lastPrinted>
  <dcterms:created xsi:type="dcterms:W3CDTF">2003-07-28T11:27:56Z</dcterms:created>
  <dcterms:modified xsi:type="dcterms:W3CDTF">2018-05-04T11:31:46Z</dcterms:modified>
  <cp:category/>
  <cp:version/>
  <cp:contentType/>
  <cp:contentStatus/>
</cp:coreProperties>
</file>